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215" firstSheet="1" activeTab="1"/>
  </bookViews>
  <sheets>
    <sheet name="RV_Data" sheetId="1" state="hidden" r:id="rId1"/>
    <sheet name="Смета по ТСН-2001" sheetId="2" r:id="rId2"/>
    <sheet name="Source" sheetId="3" r:id="rId3"/>
    <sheet name="SmtRes" sheetId="4" r:id="rId4"/>
    <sheet name="EtalonRes" sheetId="5" r:id="rId5"/>
    <sheet name="ClcRes" sheetId="6" r:id="rId6"/>
  </sheets>
  <definedNames>
    <definedName name="_xlnm.Print_Titles" localSheetId="1">'Смета по ТСН-2001'!$29:$29</definedName>
    <definedName name="_xlnm.Print_Area" localSheetId="1">'Смета по ТСН-2001'!$A$1:$K$238</definedName>
  </definedNames>
  <calcPr fullCalcOnLoad="1"/>
</workbook>
</file>

<file path=xl/sharedStrings.xml><?xml version="1.0" encoding="utf-8"?>
<sst xmlns="http://schemas.openxmlformats.org/spreadsheetml/2006/main" count="2006" uniqueCount="297">
  <si>
    <t>Smeta.ru  (495) 974-1589</t>
  </si>
  <si>
    <t>_PS_</t>
  </si>
  <si>
    <t>Smeta.ru</t>
  </si>
  <si>
    <t>ООО "Элкомпроект"  Доп. раб. место  FStS-0038458</t>
  </si>
  <si>
    <t>Новый объект</t>
  </si>
  <si>
    <t>Библиотека №133</t>
  </si>
  <si>
    <t/>
  </si>
  <si>
    <t>ТСН-2001 ремонт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</si>
  <si>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</si>
  <si>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</si>
  <si>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</si>
  <si>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</si>
  <si>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</si>
  <si>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Поправки для ТСН-2001</t>
  </si>
  <si>
    <t>Новая локальная смета</t>
  </si>
  <si>
    <t>{C4F73274-476D-4F0A-B5A4-C2568455B98C}</t>
  </si>
  <si>
    <t>1</t>
  </si>
  <si>
    <t>3.7-40-11</t>
  </si>
  <si>
    <t>УСТАНОВКА МЕЛКИХ КОНСТРУКЦИЙ (ПОДОКОННИКОВ, СЛИВОВ, ПАРАПЕТОВ И ДР) МАССОЙ ДО 0,5 Т</t>
  </si>
  <si>
    <t>100 шт.</t>
  </si>
  <si>
    <t>ТСН-2001.3. База. Сб.7, т.40, поз.11</t>
  </si>
  <si>
    <t>*0</t>
  </si>
  <si>
    <t>*0,8</t>
  </si>
  <si>
    <t>Строительные работы</t>
  </si>
  <si>
    <t>ТСН-2001.3-7. 7-31-10, 7-32...7-51</t>
  </si>
  <si>
    <t>ТСН-2001.3-7-4</t>
  </si>
  <si>
    <t>2</t>
  </si>
  <si>
    <t>6.58-2-1</t>
  </si>
  <si>
    <t>РАЗБОРКА ПОКРЫТИЙ КРОВЛИ ИЗ РУЛОННЫХ МАТЕРИАЛОВ В 1-3 СЛОЯ</t>
  </si>
  <si>
    <t>100 м2</t>
  </si>
  <si>
    <t>ТСН-2001.6. База. Сб.58, т.2, поз.1</t>
  </si>
  <si>
    <t>Ремонтно-строительные работы</t>
  </si>
  <si>
    <t>ТСН-2001.6-58. 58-1...58-5</t>
  </si>
  <si>
    <t>ТСН-2001.6-58-1</t>
  </si>
  <si>
    <t>3</t>
  </si>
  <si>
    <t>6.58-25-5</t>
  </si>
  <si>
    <t>СМЕНА ПРИМЫКАНИЙ К СТЕНАМ ИЗ ЛИСТОВОЙ СТАЛИ</t>
  </si>
  <si>
    <t>100 м</t>
  </si>
  <si>
    <t>ТСН-2001.6. База. Сб.58, т.25, поз.5</t>
  </si>
  <si>
    <t>ТСН-2001.6-58. 58-6...58-33</t>
  </si>
  <si>
    <t>ТСН-2001.6-58-2</t>
  </si>
  <si>
    <t>3,1</t>
  </si>
  <si>
    <t>1.1-1-1079</t>
  </si>
  <si>
    <t>СТАЛЬ ЛИСТОВАЯ, ОЦИНКОВАННАЯ, ТОЛЩИНА 0,5 ММ</t>
  </si>
  <si>
    <t>т</t>
  </si>
  <si>
    <t>ТСН-2001.1. Доп.22. Р.1, о.1, поз.1079</t>
  </si>
  <si>
    <t>4</t>
  </si>
  <si>
    <t>5</t>
  </si>
  <si>
    <t>6.58-25-2</t>
  </si>
  <si>
    <t>СМЕНА ПОЯСКОВ, САНДРИКОВ, ОТЛИВОВ, КАРНИЗОВ ШИРИНОЙ ДО 0,7 М</t>
  </si>
  <si>
    <t>ТСН-2001.6. База. Сб.58, т.25, поз.2</t>
  </si>
  <si>
    <t>5,1</t>
  </si>
  <si>
    <t>6</t>
  </si>
  <si>
    <t>6.58-26-1</t>
  </si>
  <si>
    <t>СМЕНА КОЛПАКОВ НА ДЫМОВЫХ И ВЕНТИЛЯЦИОННЫХ ТРУБАХ (ТРУБА В ОДИН КАНАЛ)</t>
  </si>
  <si>
    <t>10 шт.</t>
  </si>
  <si>
    <t>ТСН-2001.6. База. Сб.58, т.26, поз.1</t>
  </si>
  <si>
    <t>6,1</t>
  </si>
  <si>
    <t>7</t>
  </si>
  <si>
    <t>6.58-31-3</t>
  </si>
  <si>
    <t>РЕМОНТ ЦЕМЕНТНОЙ СТЯЖКИ ОТДЕЛЬНЫМИ МЕСТАМИ, ПЛОЩАДЬ ЗАДЕЛКИ, М2, ДО: 1,0</t>
  </si>
  <si>
    <t>100 мест</t>
  </si>
  <si>
    <t>ТСН-2001.6. База. Сб.58, т.31, поз.3</t>
  </si>
  <si>
    <t>8</t>
  </si>
  <si>
    <t>3.12-3-4</t>
  </si>
  <si>
    <t>УСТРОЙСТВО РУЛОННОГО ПОКРЫТИЯ В ДВА СЛОЯ ИЗ НАПЛАВЛЯЕМОГО МАТЕРИАЛА ТИПА "ФИЛИЗОЛ", "ИЗОПЛАСТ"</t>
  </si>
  <si>
    <t>ТСН-2001.3. Доп.16. Сб.12, т.3, поз.4</t>
  </si>
  <si>
    <t>*1,25</t>
  </si>
  <si>
    <t>*1,15</t>
  </si>
  <si>
    <t>ТСН-2001.3-12. 12-1...12-29</t>
  </si>
  <si>
    <t>ТСН-2001.3-12-1</t>
  </si>
  <si>
    <t>8,1</t>
  </si>
  <si>
    <t>1.1-1-1312</t>
  </si>
  <si>
    <t>МАТЕРИАЛ РУЛОННЫЙ КРОВЕЛЬНЫЙ, ФИЛИЗОЛ, МАРКА 'В'</t>
  </si>
  <si>
    <t>м2</t>
  </si>
  <si>
    <t>ТСН-2001.1. База. Р.1, о.1, поз.1312</t>
  </si>
  <si>
    <t>8,2</t>
  </si>
  <si>
    <t>1.1-1-1313</t>
  </si>
  <si>
    <t>МАТЕРИАЛ РУЛОННЫЙ КРОВЕЛЬНЫЙ, ФИЛИЗОЛ, МАРКА 'Н'</t>
  </si>
  <si>
    <t>ТСН-2001.1. База. Р.1, о.1, поз.1313</t>
  </si>
  <si>
    <t>9</t>
  </si>
  <si>
    <t>10</t>
  </si>
  <si>
    <t>10,1</t>
  </si>
  <si>
    <t>1.5-4-468</t>
  </si>
  <si>
    <t>ПЛИТЫ ПАРАПЕТНЫЕ, МАРКА ПР-30, ПР-12</t>
  </si>
  <si>
    <t>м3</t>
  </si>
  <si>
    <t>ТСН-2001.1. База. Р.5, о.4, поз.468</t>
  </si>
  <si>
    <t>11</t>
  </si>
  <si>
    <t>11,1</t>
  </si>
  <si>
    <t>11,2</t>
  </si>
  <si>
    <t>12</t>
  </si>
  <si>
    <t>3.16-21-3</t>
  </si>
  <si>
    <t>УСТАНОВКА ВОРОНОК СЛИВНЫХ ДИАМЕТРОМ, ММ 100</t>
  </si>
  <si>
    <t>шт.</t>
  </si>
  <si>
    <t>ТСН-2001.3. База. Сб.16, т.21, поз.3</t>
  </si>
  <si>
    <t>*0,4</t>
  </si>
  <si>
    <t>ТСН-2001.3-16. 16-15...16-33</t>
  </si>
  <si>
    <t>ТСН-2001.3-16-5</t>
  </si>
  <si>
    <t>13</t>
  </si>
  <si>
    <t>3.16-21-4</t>
  </si>
  <si>
    <t>УСТАНОВКА ВОРОНОК СЛИВНЫХ ДИАМЕТРОМ, ММ 150</t>
  </si>
  <si>
    <t>ТСН-2001.3. База. Сб.16, т.21, поз.4</t>
  </si>
  <si>
    <t>13,1</t>
  </si>
  <si>
    <t>1.7-1-10</t>
  </si>
  <si>
    <t>ВОРОНКИ ДЛЯ СБОРА АТМОСФЕРНЫХ ОСАДКОВ ИЗ ОЦИНКОВАННОЙ СТАЛИ, ДИАМЕТР 160 ММ</t>
  </si>
  <si>
    <t>ТСН-2001.1. База. Р.7, о.1, поз.10</t>
  </si>
  <si>
    <t>14</t>
  </si>
  <si>
    <t>6.69-19-1</t>
  </si>
  <si>
    <t>ПОГРУЗКА И ВЫГРУЗКА ВРУЧНУЮ СТРОИТЕЛЬНОГО МУСОРА НА ТРАНСПОРТНЫЕ СРЕДСТВА</t>
  </si>
  <si>
    <t>ТСН-2001.6. База. Сб.69, т.19, поз.1</t>
  </si>
  <si>
    <t>ТСН-2001.6-69. 69-1...69-49</t>
  </si>
  <si>
    <t>ТСН-2001.6-69-1</t>
  </si>
  <si>
    <t>15</t>
  </si>
  <si>
    <t>15.1-45-5</t>
  </si>
  <si>
    <t>ПЕРЕВОЗКА СТРОИТЕЛЬНОГО МУСОРА НА РАССТОЯНИЕ 45 КМ АВТОСАМОСВАЛАМИ ГРУЗОПОДЪЕМНОСТЬЮ ДО 16 Т, ПЕРЕВОЗКА ДО 45 КМ</t>
  </si>
  <si>
    <t>ТСН-2001.15. База. Сб.1, т.45, поз.5</t>
  </si>
  <si>
    <t>Транспортные затраты</t>
  </si>
  <si>
    <t>ТСН-2001.15-1. Перевозка строительного мусора</t>
  </si>
  <si>
    <t>ТСН-2001.15-1-5</t>
  </si>
  <si>
    <t>16</t>
  </si>
  <si>
    <t>11-01-036-1</t>
  </si>
  <si>
    <t>Прочие работы</t>
  </si>
  <si>
    <t>МЦЦС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</si>
  <si>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</si>
  <si>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</si>
  <si>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</si>
  <si>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</si>
  <si>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</si>
  <si>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</si>
  <si>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</si>
  <si>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</si>
  <si>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</si>
  <si>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</si>
  <si>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</si>
  <si>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</si>
  <si>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</si>
  <si>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</si>
  <si>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</si>
  <si>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</si>
  <si>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</si>
  <si>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</si>
  <si>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</si>
  <si>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</si>
  <si>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</si>
  <si>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</si>
  <si>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</si>
  <si>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</si>
  <si>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</si>
  <si>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</si>
  <si>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</t>
  </si>
  <si>
    <t>НДС</t>
  </si>
  <si>
    <t>НДС 18%</t>
  </si>
  <si>
    <t>ИТОго</t>
  </si>
  <si>
    <t>ИТОГО</t>
  </si>
  <si>
    <t>9999990008</t>
  </si>
  <si>
    <t>ТРУДОЗАТРАТЫ РАБОЧИХ (ЭСН)</t>
  </si>
  <si>
    <t>чел.-ч.</t>
  </si>
  <si>
    <t>1.3-2-5</t>
  </si>
  <si>
    <t>ТСН-2001.1. Доп.14. Р.3, о.2, поз.5</t>
  </si>
  <si>
    <t>РАСТВОРЫ ЦЕМЕНТНЫЕ, МАРКА 100</t>
  </si>
  <si>
    <t>5898000000</t>
  </si>
  <si>
    <t>СБОРНЫЕ ЖЕЛЕЗОБЕТОННЫЕ КОНСТРУКЦИИ</t>
  </si>
  <si>
    <t>0.0-0-0</t>
  </si>
  <si>
    <t>МАССА МУСОРА</t>
  </si>
  <si>
    <t>1.1-1-132</t>
  </si>
  <si>
    <t>ТСН-2001.1. База. Р.1, о.1, поз.132</t>
  </si>
  <si>
    <t>ГВОЗДИ СТРОИТЕЛЬНЫЕ</t>
  </si>
  <si>
    <t>1.1-1-957</t>
  </si>
  <si>
    <t>ТСН-2001.1. База. Р.1, о.1, поз.957</t>
  </si>
  <si>
    <t>ПРОВОЛОКА СТАЛЬНАЯ КРОВЕЛЬНАЯ ОЦИНКОВАННАЯ</t>
  </si>
  <si>
    <t>2.1-10-4</t>
  </si>
  <si>
    <t>ТСН-2001.2. База. п.1-10-4 (101001)</t>
  </si>
  <si>
    <t>КОМПРЕССОРЫ С ДИЗЕЛЬНЫМ ДВИГАТЕЛЕМ ПРИЦЕПНЫЕ ДО 2,5 М3/МИН</t>
  </si>
  <si>
    <t>маш.-ч</t>
  </si>
  <si>
    <t>2.1-30-54</t>
  </si>
  <si>
    <t>ТСН-2001.2. База. п.1-30-54 (308901)</t>
  </si>
  <si>
    <t>МОЛОТКИ ОТБОЙНЫЕ</t>
  </si>
  <si>
    <t>2.1-4-30</t>
  </si>
  <si>
    <t>ТСН-2001.2. База. п.1-4-30 (042901)</t>
  </si>
  <si>
    <t>ЛЕБЕДКИ ЭЛЕКТРИЧЕСКИЕ, ГРУЗОПОДЪЕМНОСТЬ ДО 0,5 Т</t>
  </si>
  <si>
    <t>1.1-1-1328</t>
  </si>
  <si>
    <t>ТСН-2001.1. База. Р.1, о.1, поз.1328</t>
  </si>
  <si>
    <t>ЦЕМЕНТ ОБЩЕСТРОИТЕЛЬНЫЙ, ПОРТЛАНДЦЕМЕНТ ОБЩЕГО НАЗНАЧЕНИЯ, МАРКА 300</t>
  </si>
  <si>
    <t>2.0-0-0</t>
  </si>
  <si>
    <t>СТОИМОСТЬ ПРОЧИХ МАШИН (ЭСН)</t>
  </si>
  <si>
    <t>руб.</t>
  </si>
  <si>
    <t>1.1-1-2613</t>
  </si>
  <si>
    <t>ТСН-2001.1. База. Р.1, о.1, поз.2613</t>
  </si>
  <si>
    <t>ПРОПАН-БУТАН, СЖИЖЕННЫЙ ГАЗ</t>
  </si>
  <si>
    <t>кг</t>
  </si>
  <si>
    <t>1.1-1-599</t>
  </si>
  <si>
    <t>ТСН-2001.1. База. Р.1, о.1, поз.599</t>
  </si>
  <si>
    <t>МАСТИКА ГЕРМЕТИЗИРУЮЩАЯ НЕТВЕРДЕЮЩАЯ, СТРОИТЕЛЬНАЯ, БИТУМНО-АТАКТИЧЕСКАЯ, АНТИКОРРОЗИЙНАЯ</t>
  </si>
  <si>
    <t>2.1-18-7</t>
  </si>
  <si>
    <t>ТСН-2001.2. База. п.1-18-7 (183001)</t>
  </si>
  <si>
    <t>АВТОМОБИЛИ ГРУЗОВЫЕ БОРТОВЫЕ, ГРУЗОПОДЪЕМНОСТЬ ДО 5 Т</t>
  </si>
  <si>
    <t>1.1-1-1681</t>
  </si>
  <si>
    <t>ТСН-2001.1. База. Р.1, о.1, поз.1681</t>
  </si>
  <si>
    <t>НАБИВКИ САЛЬНИКОВЫЕ АСБЕСТОВЫЕ, МАРКА АП-31, ТОЛЩИНА 6-14 ММ</t>
  </si>
  <si>
    <t>1.1-1-296</t>
  </si>
  <si>
    <t>ТСН-2001.1. База. Р.1, о.1, поз.296</t>
  </si>
  <si>
    <t>КАБОЛКА</t>
  </si>
  <si>
    <t>5263935000</t>
  </si>
  <si>
    <t>ВОРОНКИ</t>
  </si>
  <si>
    <t>0930110000</t>
  </si>
  <si>
    <t>СТАЛЬ ЛИСТОВАЯ ОЦИНКОВАННАЯ ТОЛЩИНОЙ ЛИСТА 0,5 ММ</t>
  </si>
  <si>
    <t>5774330000</t>
  </si>
  <si>
    <t>МАТЕРИАЛЫ РУЛОННЫЕ КРОВЕЛЬНЫЕ ДЛЯ ВЕРХНЕГО СЛОЯ (МАРКА ПО ПРОЕКТУ)</t>
  </si>
  <si>
    <t>МАТЕРИАЛЫ РУЛОННЫЕ КРОВЕЛЬНЫЕ ДЛЯ НИЖНЕГО СЛОЯ (МАРКА ПО ПРОЕКТУ)</t>
  </si>
  <si>
    <t>"СОГЛАСОВАНО"</t>
  </si>
  <si>
    <t>"УТВЕРЖДАЮ"</t>
  </si>
  <si>
    <t>"_____"________________200___ г.</t>
  </si>
  <si>
    <t>(Наименование стройки)</t>
  </si>
  <si>
    <t xml:space="preserve">  на</t>
  </si>
  <si>
    <t>(наименование работ и затрат, наименование объекта)</t>
  </si>
  <si>
    <t>№</t>
  </si>
  <si>
    <t>п/п</t>
  </si>
  <si>
    <t>Шифр</t>
  </si>
  <si>
    <t>расценки</t>
  </si>
  <si>
    <t>и коды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</si>
  <si>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</si>
  <si>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</si>
  <si>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</si>
  <si>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</si>
  <si>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</si>
  <si>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</si>
  <si>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</si>
  <si>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изм.</t>
  </si>
  <si>
    <t>вочные</t>
  </si>
  <si>
    <t>пере-</t>
  </si>
  <si>
    <t>счета</t>
  </si>
  <si>
    <t>ЗТР</t>
  </si>
  <si>
    <t>%</t>
  </si>
  <si>
    <t>чел-ч</t>
  </si>
  <si>
    <t>Итого</t>
  </si>
  <si>
    <t>Итого по локальной смете</t>
  </si>
  <si>
    <t>19999990008ТРУДОЗАТРАТЫ РАБОЧИХ (ЭСН)чел.-ч.00</t>
  </si>
  <si>
    <t>31.3-2-5РАСТВОРЫ ЦЕМЕНТНЫЕ, МАРКА 100м3451,140</t>
  </si>
  <si>
    <t>35898000000СБОРНЫЕ ЖЕЛЕЗОБЕТОННЫЕ КОНСТРУКЦИИшт.00</t>
  </si>
  <si>
    <t>30.0-0-0МАССА МУСОРАт00</t>
  </si>
  <si>
    <t>31.1-1-1079СТАЛЬ ЛИСТОВАЯ, ОЦИНКОВАННАЯ, ТОЛЩИНА 0,5 ММт15328,480</t>
  </si>
  <si>
    <t>31.1-1-132ГВОЗДИ СТРОИТЕЛЬНЫЕт6521,420</t>
  </si>
  <si>
    <t>31.1-1-957ПРОВОЛОКА СТАЛЬНАЯ КРОВЕЛЬНАЯ ОЦИНКОВАННАЯт8559,280</t>
  </si>
  <si>
    <t>22.1-10-4КОМПРЕССОРЫ С ДИЗЕЛЬНЫМ ДВИГАТЕЛЕМ ПРИЦЕПНЫЕ ДО 2,5 М3/МИНмаш.-ч41,620</t>
  </si>
  <si>
    <t>22.1-30-54МОЛОТКИ ОТБОЙНЫЕмаш.-ч3,160</t>
  </si>
  <si>
    <t>22.1-4-30ЛЕБЕДКИ ЭЛЕКТРИЧЕСКИЕ, ГРУЗОПОДЪЕМНОСТЬ ДО 0,5 Тмаш.-ч1,280</t>
  </si>
  <si>
    <t>31.1-1-1328ЦЕМЕНТ ОБЩЕСТРОИТЕЛЬНЫЙ, ПОРТЛАНДЦЕМЕНТ ОБЩЕГО НАЗНАЧЕНИЯ, МАРКА 300т315,20</t>
  </si>
  <si>
    <t>22.0-0-0СТОИМОСТЬ ПРОЧИХ МАШИН (ЭСН)руб.10</t>
  </si>
  <si>
    <t>31.1-1-1312МАТЕРИАЛ РУЛОННЫЙ КРОВЕЛЬНЫЙ, ФИЛИЗОЛ, МАРКА 'В'м225,090</t>
  </si>
  <si>
    <t>31.1-1-1313МАТЕРИАЛ РУЛОННЫЙ КРОВЕЛЬНЫЙ, ФИЛИЗОЛ, МАРКА 'Н'м223,060</t>
  </si>
  <si>
    <t>31.1-1-2613ПРОПАН-БУТАН, СЖИЖЕННЫЙ ГАЗкг6,270</t>
  </si>
  <si>
    <t>31.1-1-599МАСТИКА ГЕРМЕТИЗИРУЮЩАЯ НЕТВЕРДЕЮЩАЯ, СТРОИТЕЛЬНАЯ, БИТУМНО-АТАКТИЧЕСКАЯ, АНТИКОРРОЗИЙНАЯт18910,80</t>
  </si>
  <si>
    <t>31.5-4-468ПЛИТЫ ПАРАПЕТНЫЕ, МАРКА ПР-30, ПР-12м31205,650</t>
  </si>
  <si>
    <t>22.1-18-7АВТОМОБИЛИ ГРУЗОВЫЕ БОРТОВЫЕ, ГРУЗОПОДЪЕМНОСТЬ ДО 5 Тмаш.-ч74,440</t>
  </si>
  <si>
    <t>31.1-1-1681НАБИВКИ САЛЬНИКОВЫЕ АСБЕСТОВЫЕ, МАРКА АП-31, ТОЛЩИНА 6-14 ММт22827,440</t>
  </si>
  <si>
    <t>31.1-1-296КАБОЛКАт25769,560</t>
  </si>
  <si>
    <t>35263935000ВОРОНКИшт.00</t>
  </si>
  <si>
    <t>31.7-1-10ВОРОНКИ ДЛЯ СБОРА АТМОСФЕРНЫХ ОСАДКОВ ИЗ ОЦИНКОВАННОЙ СТАЛИ, ДИАМЕТР 160 ММшт.115,540</t>
  </si>
  <si>
    <t>311-01-036-100</t>
  </si>
  <si>
    <t>Ресурсная ведомость</t>
  </si>
  <si>
    <t>Обоснование</t>
  </si>
  <si>
    <t>Наименование</t>
  </si>
  <si>
    <t>Единица измерения</t>
  </si>
  <si>
    <t>Объем</t>
  </si>
  <si>
    <t>Стоимость</t>
  </si>
  <si>
    <t>Материальные ресурсы:</t>
  </si>
  <si>
    <t>[должность,подпись(инициалы,фамилия)]</t>
  </si>
  <si>
    <t>Форма № 1а</t>
  </si>
  <si>
    <t>(локальный сметный расчет)</t>
  </si>
  <si>
    <t>Составлен(а) в уровне текущих (прогнозных) цен на</t>
  </si>
  <si>
    <t>г.</t>
  </si>
  <si>
    <t>ресурсов</t>
  </si>
  <si>
    <t>на ед.</t>
  </si>
  <si>
    <t>Коэффициенты</t>
  </si>
  <si>
    <t>попра-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</si>
  <si>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</si>
  <si>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</si>
  <si>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</si>
  <si>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</si>
  <si>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</si>
  <si>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</si>
  <si>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</si>
  <si>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и нормы</t>
  </si>
  <si>
    <t>НР и СП</t>
  </si>
  <si>
    <t>в текущих</t>
  </si>
  <si>
    <t>(прогнозных)</t>
  </si>
  <si>
    <t>ценах, руб.</t>
  </si>
  <si>
    <t>ЗП</t>
  </si>
  <si>
    <t>ЭМ</t>
  </si>
  <si>
    <t>в т.ч. ЗПМ</t>
  </si>
  <si>
    <t>МР</t>
  </si>
  <si>
    <t>НР от ЗП</t>
  </si>
  <si>
    <t>СП от ЗП</t>
  </si>
  <si>
    <t>НР и СП от ЗПМ</t>
  </si>
  <si>
    <t>Составил</t>
  </si>
  <si>
    <t>Проверил:</t>
  </si>
  <si>
    <t>www.osmeta.ru Разработка сметной документации +7 906 771 8949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</si>
</sst>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4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72" fontId="12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72" fontId="12" fillId="0" borderId="15" xfId="0" applyNumberFormat="1" applyFont="1" applyBorder="1" applyAlignment="1">
      <alignment/>
    </xf>
    <xf numFmtId="0" fontId="12" fillId="0" borderId="11" xfId="0" applyFont="1" applyBorder="1" applyAlignment="1">
      <alignment/>
    </xf>
    <xf numFmtId="172" fontId="12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2" fillId="33" borderId="11" xfId="0" applyFont="1" applyFill="1" applyBorder="1" applyAlignment="1">
      <alignment wrapText="1"/>
    </xf>
    <xf numFmtId="0" fontId="12" fillId="33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172" fontId="0" fillId="0" borderId="15" xfId="0" applyNumberForma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17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7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A1" sqref="A1:IV60"/>
    </sheetView>
  </sheetViews>
  <sheetFormatPr defaultColWidth="9.140625" defaultRowHeight="12.75"/>
  <sheetData>
    <row r="1" spans="1:26" ht="12.75">
      <c r="A1">
        <f>SmtRes!H1</f>
        <v>1</v>
      </c>
      <c r="B1" t="str">
        <f>SmtRes!I1</f>
        <v>9999990008</v>
      </c>
      <c r="C1" t="str">
        <f>SmtRes!K1</f>
        <v>ТРУДОЗАТРАТЫ РАБОЧИХ (ЭСН)</v>
      </c>
      <c r="D1" t="str">
        <f>SmtRes!O1</f>
        <v>чел.-ч.</v>
      </c>
      <c r="E1">
        <f>SmtRes!Y1</f>
        <v>82.4</v>
      </c>
      <c r="F1">
        <f>SmtRes!Y1*Source!I24</f>
        <v>36.256</v>
      </c>
      <c r="G1">
        <f>ROUND(SmtRes!AD1,2)</f>
        <v>0</v>
      </c>
      <c r="H1">
        <f>ROUND(SmtRes!AD1*SmtRes!Y1*Source!I24,2)</f>
        <v>0</v>
      </c>
      <c r="Z1" t="s">
        <v>236</v>
      </c>
    </row>
    <row r="2" spans="1:26" ht="12.75">
      <c r="A2">
        <f>SmtRes!H4</f>
        <v>1</v>
      </c>
      <c r="B2" t="str">
        <f>SmtRes!I4</f>
        <v>9999990008</v>
      </c>
      <c r="C2" t="str">
        <f>SmtRes!K4</f>
        <v>ТРУДОЗАТРАТЫ РАБОЧИХ (ЭСН)</v>
      </c>
      <c r="D2" t="str">
        <f>SmtRes!O4</f>
        <v>чел.-ч.</v>
      </c>
      <c r="E2">
        <f>SmtRes!Y4</f>
        <v>17.41</v>
      </c>
      <c r="F2">
        <f>SmtRes!Y4*Source!I25</f>
        <v>121.20841999999999</v>
      </c>
      <c r="G2">
        <f>ROUND(SmtRes!AD4,2)</f>
        <v>0</v>
      </c>
      <c r="H2">
        <f>ROUND(SmtRes!AD4*SmtRes!Y4*Source!I25,2)</f>
        <v>0</v>
      </c>
      <c r="Z2" t="s">
        <v>236</v>
      </c>
    </row>
    <row r="3" spans="1:26" ht="12.75">
      <c r="A3">
        <f>SmtRes!H6</f>
        <v>1</v>
      </c>
      <c r="B3" t="str">
        <f>SmtRes!I6</f>
        <v>9999990008</v>
      </c>
      <c r="C3" t="str">
        <f>SmtRes!K6</f>
        <v>ТРУДОЗАТРАТЫ РАБОЧИХ (ЭСН)</v>
      </c>
      <c r="D3" t="str">
        <f>SmtRes!O6</f>
        <v>чел.-ч.</v>
      </c>
      <c r="E3">
        <f>SmtRes!Y6</f>
        <v>45.45</v>
      </c>
      <c r="F3">
        <f>SmtRes!Y6*Source!I26</f>
        <v>4.9995</v>
      </c>
      <c r="G3">
        <f>ROUND(SmtRes!AD6,2)</f>
        <v>0</v>
      </c>
      <c r="H3">
        <f>ROUND(SmtRes!AD6*SmtRes!Y6*Source!I26,2)</f>
        <v>0</v>
      </c>
      <c r="Z3" t="s">
        <v>236</v>
      </c>
    </row>
    <row r="4" spans="1:26" ht="12.75">
      <c r="A4">
        <f>SmtRes!H10</f>
        <v>1</v>
      </c>
      <c r="B4" t="str">
        <f>SmtRes!I10</f>
        <v>9999990008</v>
      </c>
      <c r="C4" t="str">
        <f>SmtRes!K10</f>
        <v>ТРУДОЗАТРАТЫ РАБОЧИХ (ЭСН)</v>
      </c>
      <c r="D4" t="str">
        <f>SmtRes!O10</f>
        <v>чел.-ч.</v>
      </c>
      <c r="E4">
        <f>SmtRes!Y10</f>
        <v>17.41</v>
      </c>
      <c r="F4">
        <f>SmtRes!Y10*Source!I28</f>
        <v>21.08351</v>
      </c>
      <c r="G4">
        <f>ROUND(SmtRes!AD10,2)</f>
        <v>0</v>
      </c>
      <c r="H4">
        <f>ROUND(SmtRes!AD10*SmtRes!Y10*Source!I28,2)</f>
        <v>0</v>
      </c>
      <c r="Z4" t="s">
        <v>236</v>
      </c>
    </row>
    <row r="5" spans="1:26" ht="12.75">
      <c r="A5">
        <f>SmtRes!H12</f>
        <v>1</v>
      </c>
      <c r="B5" t="str">
        <f>SmtRes!I12</f>
        <v>9999990008</v>
      </c>
      <c r="C5" t="str">
        <f>SmtRes!K12</f>
        <v>ТРУДОЗАТРАТЫ РАБОЧИХ (ЭСН)</v>
      </c>
      <c r="D5" t="str">
        <f>SmtRes!O12</f>
        <v>чел.-ч.</v>
      </c>
      <c r="E5">
        <f>SmtRes!Y12</f>
        <v>63.22</v>
      </c>
      <c r="F5">
        <f>SmtRes!Y12*Source!I29</f>
        <v>38.5642</v>
      </c>
      <c r="G5">
        <f>ROUND(SmtRes!AD12,2)</f>
        <v>0</v>
      </c>
      <c r="H5">
        <f>ROUND(SmtRes!AD12*SmtRes!Y12*Source!I29,2)</f>
        <v>0</v>
      </c>
      <c r="Z5" t="s">
        <v>236</v>
      </c>
    </row>
    <row r="6" spans="1:26" ht="12.75">
      <c r="A6">
        <f>SmtRes!H17</f>
        <v>1</v>
      </c>
      <c r="B6" t="str">
        <f>SmtRes!I17</f>
        <v>9999990008</v>
      </c>
      <c r="C6" t="str">
        <f>SmtRes!K17</f>
        <v>ТРУДОЗАТРАТЫ РАБОЧИХ (ЭСН)</v>
      </c>
      <c r="D6" t="str">
        <f>SmtRes!O17</f>
        <v>чел.-ч.</v>
      </c>
      <c r="E6">
        <f>SmtRes!Y17</f>
        <v>18.6</v>
      </c>
      <c r="F6">
        <f>SmtRes!Y17*Source!I31</f>
        <v>1.8600000000000003</v>
      </c>
      <c r="G6">
        <f>ROUND(SmtRes!AD17,2)</f>
        <v>0</v>
      </c>
      <c r="H6">
        <f>ROUND(SmtRes!AD17*SmtRes!Y17*Source!I31,2)</f>
        <v>0</v>
      </c>
      <c r="Z6" t="s">
        <v>236</v>
      </c>
    </row>
    <row r="7" spans="1:26" ht="12.75">
      <c r="A7">
        <f>SmtRes!H20</f>
        <v>1</v>
      </c>
      <c r="B7" t="str">
        <f>SmtRes!I20</f>
        <v>9999990008</v>
      </c>
      <c r="C7" t="str">
        <f>SmtRes!K20</f>
        <v>ТРУДОЗАТРАТЫ РАБОЧИХ (ЭСН)</v>
      </c>
      <c r="D7" t="str">
        <f>SmtRes!O20</f>
        <v>чел.-ч.</v>
      </c>
      <c r="E7">
        <f>SmtRes!Y20</f>
        <v>113</v>
      </c>
      <c r="F7">
        <f>SmtRes!Y20*Source!I33</f>
        <v>236.17</v>
      </c>
      <c r="G7">
        <f>ROUND(SmtRes!AD20,2)</f>
        <v>0</v>
      </c>
      <c r="H7">
        <f>ROUND(SmtRes!AD20*SmtRes!Y20*Source!I33,2)</f>
        <v>0</v>
      </c>
      <c r="Z7" t="s">
        <v>236</v>
      </c>
    </row>
    <row r="8" spans="1:26" ht="12.75">
      <c r="A8">
        <f>SmtRes!H27</f>
        <v>1</v>
      </c>
      <c r="B8" t="str">
        <f>SmtRes!I27</f>
        <v>9999990008</v>
      </c>
      <c r="C8" t="str">
        <f>SmtRes!K27</f>
        <v>ТРУДОЗАТРАТЫ РАБОЧИХ (ЭСН)</v>
      </c>
      <c r="D8" t="str">
        <f>SmtRes!O27</f>
        <v>чел.-ч.</v>
      </c>
      <c r="E8">
        <f>SmtRes!Y27</f>
        <v>60.949999999999996</v>
      </c>
      <c r="F8">
        <f>SmtRes!Y27*Source!I34</f>
        <v>424.33389999999997</v>
      </c>
      <c r="G8">
        <f>ROUND(SmtRes!AD27,2)</f>
        <v>0</v>
      </c>
      <c r="H8">
        <f>ROUND(SmtRes!AD27*SmtRes!Y27*Source!I34,2)</f>
        <v>0</v>
      </c>
      <c r="Z8" t="s">
        <v>236</v>
      </c>
    </row>
    <row r="9" spans="1:26" ht="12.75">
      <c r="A9">
        <f>SmtRes!H33</f>
        <v>1</v>
      </c>
      <c r="B9" t="str">
        <f>SmtRes!I33</f>
        <v>9999990008</v>
      </c>
      <c r="C9" t="str">
        <f>SmtRes!K33</f>
        <v>ТРУДОЗАТРАТЫ РАБОЧИХ (ЭСН)</v>
      </c>
      <c r="D9" t="str">
        <f>SmtRes!O33</f>
        <v>чел.-ч.</v>
      </c>
      <c r="E9">
        <f>SmtRes!Y33</f>
        <v>113</v>
      </c>
      <c r="F9">
        <f>SmtRes!Y33*Source!I37</f>
        <v>15.820000000000002</v>
      </c>
      <c r="G9">
        <f>ROUND(SmtRes!AD33,2)</f>
        <v>0</v>
      </c>
      <c r="H9">
        <f>ROUND(SmtRes!AD33*SmtRes!Y33*Source!I37,2)</f>
        <v>0</v>
      </c>
      <c r="Z9" t="s">
        <v>236</v>
      </c>
    </row>
    <row r="10" spans="1:26" ht="12.75">
      <c r="A10">
        <f>SmtRes!H40</f>
        <v>1</v>
      </c>
      <c r="B10" t="str">
        <f>SmtRes!I40</f>
        <v>9999990008</v>
      </c>
      <c r="C10" t="str">
        <f>SmtRes!K40</f>
        <v>ТРУДОЗАТРАТЫ РАБОЧИХ (ЭСН)</v>
      </c>
      <c r="D10" t="str">
        <f>SmtRes!O40</f>
        <v>чел.-ч.</v>
      </c>
      <c r="E10">
        <f>SmtRes!Y40</f>
        <v>118.44999999999999</v>
      </c>
      <c r="F10">
        <f>SmtRes!Y40*Source!I38</f>
        <v>52.117999999999995</v>
      </c>
      <c r="G10">
        <f>ROUND(SmtRes!AD40,2)</f>
        <v>0</v>
      </c>
      <c r="H10">
        <f>ROUND(SmtRes!AD40*SmtRes!Y40*Source!I38,2)</f>
        <v>0</v>
      </c>
      <c r="Z10" t="s">
        <v>236</v>
      </c>
    </row>
    <row r="11" spans="1:26" ht="12.75">
      <c r="A11">
        <f>SmtRes!H43</f>
        <v>1</v>
      </c>
      <c r="B11" t="str">
        <f>SmtRes!I43</f>
        <v>9999990008</v>
      </c>
      <c r="C11" t="str">
        <f>SmtRes!K43</f>
        <v>ТРУДОЗАТРАТЫ РАБОЧИХ (ЭСН)</v>
      </c>
      <c r="D11" t="str">
        <f>SmtRes!O43</f>
        <v>чел.-ч.</v>
      </c>
      <c r="E11">
        <f>SmtRes!Y43</f>
        <v>60.949999999999996</v>
      </c>
      <c r="F11">
        <f>SmtRes!Y43*Source!I40</f>
        <v>73.81045</v>
      </c>
      <c r="G11">
        <f>ROUND(SmtRes!AD43,2)</f>
        <v>0</v>
      </c>
      <c r="H11">
        <f>ROUND(SmtRes!AD43*SmtRes!Y43*Source!I40,2)</f>
        <v>0</v>
      </c>
      <c r="Z11" t="s">
        <v>236</v>
      </c>
    </row>
    <row r="12" spans="1:26" ht="12.75">
      <c r="A12">
        <f>SmtRes!H49</f>
        <v>1</v>
      </c>
      <c r="B12" t="str">
        <f>SmtRes!I49</f>
        <v>9999990008</v>
      </c>
      <c r="C12" t="str">
        <f>SmtRes!K49</f>
        <v>ТРУДОЗАТРАТЫ РАБОЧИХ (ЭСН)</v>
      </c>
      <c r="D12" t="str">
        <f>SmtRes!O49</f>
        <v>чел.-ч.</v>
      </c>
      <c r="E12">
        <f>SmtRes!Y49</f>
        <v>0.332</v>
      </c>
      <c r="F12">
        <f>SmtRes!Y49*Source!I43</f>
        <v>0.332</v>
      </c>
      <c r="G12">
        <f>ROUND(SmtRes!AD49,2)</f>
        <v>0</v>
      </c>
      <c r="H12">
        <f>ROUND(SmtRes!AD49*SmtRes!Y49*Source!I43,2)</f>
        <v>0</v>
      </c>
      <c r="Z12" t="s">
        <v>236</v>
      </c>
    </row>
    <row r="13" spans="1:26" ht="12.75">
      <c r="A13">
        <f>SmtRes!H54</f>
        <v>1</v>
      </c>
      <c r="B13" t="str">
        <f>SmtRes!I54</f>
        <v>9999990008</v>
      </c>
      <c r="C13" t="str">
        <f>SmtRes!K54</f>
        <v>ТРУДОЗАТРАТЫ РАБОЧИХ (ЭСН)</v>
      </c>
      <c r="D13" t="str">
        <f>SmtRes!O54</f>
        <v>чел.-ч.</v>
      </c>
      <c r="E13">
        <f>SmtRes!Y54</f>
        <v>1.564</v>
      </c>
      <c r="F13">
        <f>SmtRes!Y54*Source!I44</f>
        <v>1.564</v>
      </c>
      <c r="G13">
        <f>ROUND(SmtRes!AD54,2)</f>
        <v>0</v>
      </c>
      <c r="H13">
        <f>ROUND(SmtRes!AD54*SmtRes!Y54*Source!I44,2)</f>
        <v>0</v>
      </c>
      <c r="Z13" t="s">
        <v>236</v>
      </c>
    </row>
    <row r="14" spans="1:26" ht="12.75">
      <c r="A14">
        <f>SmtRes!H59</f>
        <v>1</v>
      </c>
      <c r="B14" t="str">
        <f>SmtRes!I59</f>
        <v>9999990008</v>
      </c>
      <c r="C14" t="str">
        <f>SmtRes!K59</f>
        <v>ТРУДОЗАТРАТЫ РАБОЧИХ (ЭСН)</v>
      </c>
      <c r="D14" t="str">
        <f>SmtRes!O59</f>
        <v>чел.-ч.</v>
      </c>
      <c r="E14">
        <f>SmtRes!Y59</f>
        <v>1.02</v>
      </c>
      <c r="F14">
        <f>SmtRes!Y59*Source!I46</f>
        <v>19.395300000000002</v>
      </c>
      <c r="G14">
        <f>ROUND(SmtRes!AD59,2)</f>
        <v>0</v>
      </c>
      <c r="H14">
        <f>ROUND(SmtRes!AD59*SmtRes!Y59*Source!I46,2)</f>
        <v>0</v>
      </c>
      <c r="Z14" t="s">
        <v>236</v>
      </c>
    </row>
    <row r="15" spans="1:26" ht="12.75">
      <c r="A15">
        <f>SmtRes!H28</f>
        <v>2</v>
      </c>
      <c r="B15" t="str">
        <f>SmtRes!I28</f>
        <v>2.0-0-0</v>
      </c>
      <c r="C15" t="str">
        <f>SmtRes!K28</f>
        <v>СТОИМОСТЬ ПРОЧИХ МАШИН (ЭСН)</v>
      </c>
      <c r="D15" t="str">
        <f>SmtRes!O28</f>
        <v>руб.</v>
      </c>
      <c r="E15">
        <f>SmtRes!Y28</f>
        <v>333.96250000000003</v>
      </c>
      <c r="F15">
        <f>SmtRes!Y28*Source!I34</f>
        <v>2325.046925</v>
      </c>
      <c r="G15">
        <f>ROUND(SmtRes!AB28,2)</f>
        <v>1</v>
      </c>
      <c r="H15">
        <f>ROUND(SmtRes!AB28*SmtRes!Y28*Source!I34,2)</f>
        <v>2325.05</v>
      </c>
      <c r="Z15" t="s">
        <v>247</v>
      </c>
    </row>
    <row r="16" spans="1:26" ht="12.75">
      <c r="A16">
        <f>SmtRes!H44</f>
        <v>2</v>
      </c>
      <c r="B16" t="str">
        <f>SmtRes!I44</f>
        <v>2.0-0-0</v>
      </c>
      <c r="C16" t="str">
        <f>SmtRes!K44</f>
        <v>СТОИМОСТЬ ПРОЧИХ МАШИН (ЭСН)</v>
      </c>
      <c r="D16" t="str">
        <f>SmtRes!O44</f>
        <v>руб.</v>
      </c>
      <c r="E16">
        <f>SmtRes!Y44</f>
        <v>333.96250000000003</v>
      </c>
      <c r="F16">
        <f>SmtRes!Y44*Source!I40</f>
        <v>404.42858750000005</v>
      </c>
      <c r="G16">
        <f>ROUND(SmtRes!AB44,2)</f>
        <v>1</v>
      </c>
      <c r="H16">
        <f>ROUND(SmtRes!AB44*SmtRes!Y44*Source!I40,2)</f>
        <v>404.43</v>
      </c>
      <c r="Z16" t="s">
        <v>247</v>
      </c>
    </row>
    <row r="17" spans="1:26" ht="12.75">
      <c r="A17">
        <f>SmtRes!H21</f>
        <v>2</v>
      </c>
      <c r="B17" t="str">
        <f>SmtRes!I21</f>
        <v>2.1-10-4</v>
      </c>
      <c r="C17" t="str">
        <f>SmtRes!K21</f>
        <v>КОМПРЕССОРЫ С ДИЗЕЛЬНЫМ ДВИГАТЕЛЕМ ПРИЦЕПНЫЕ ДО 2,5 М3/МИН</v>
      </c>
      <c r="D17" t="str">
        <f>SmtRes!O21</f>
        <v>маш.-ч</v>
      </c>
      <c r="E17">
        <f>SmtRes!Y21</f>
        <v>1.19</v>
      </c>
      <c r="F17">
        <f>SmtRes!Y21*Source!I33</f>
        <v>2.4871</v>
      </c>
      <c r="G17">
        <f>ROUND(SmtRes!AB21,2)</f>
        <v>41.62</v>
      </c>
      <c r="H17">
        <f>ROUND(SmtRes!AB21*SmtRes!Y21*Source!I33,2)</f>
        <v>103.51</v>
      </c>
      <c r="Z17" t="s">
        <v>243</v>
      </c>
    </row>
    <row r="18" spans="1:26" ht="12.75">
      <c r="A18">
        <f>SmtRes!H34</f>
        <v>2</v>
      </c>
      <c r="B18" t="str">
        <f>SmtRes!I34</f>
        <v>2.1-10-4</v>
      </c>
      <c r="C18" t="str">
        <f>SmtRes!K34</f>
        <v>КОМПРЕССОРЫ С ДИЗЕЛЬНЫМ ДВИГАТЕЛЕМ ПРИЦЕПНЫЕ ДО 2,5 М3/МИН</v>
      </c>
      <c r="D18" t="str">
        <f>SmtRes!O34</f>
        <v>маш.-ч</v>
      </c>
      <c r="E18">
        <f>SmtRes!Y34</f>
        <v>1.19</v>
      </c>
      <c r="F18">
        <f>SmtRes!Y34*Source!I37</f>
        <v>0.1666</v>
      </c>
      <c r="G18">
        <f>ROUND(SmtRes!AB34,2)</f>
        <v>41.62</v>
      </c>
      <c r="H18">
        <f>ROUND(SmtRes!AB34*SmtRes!Y34*Source!I37,2)</f>
        <v>6.93</v>
      </c>
      <c r="Z18" t="s">
        <v>243</v>
      </c>
    </row>
    <row r="19" spans="1:26" ht="12.75">
      <c r="A19">
        <f>SmtRes!H50</f>
        <v>2</v>
      </c>
      <c r="B19" t="str">
        <f>SmtRes!I50</f>
        <v>2.1-18-7</v>
      </c>
      <c r="C19" t="str">
        <f>SmtRes!K50</f>
        <v>АВТОМОБИЛИ ГРУЗОВЫЕ БОРТОВЫЕ, ГРУЗОПОДЪЕМНОСТЬ ДО 5 Т</v>
      </c>
      <c r="D19" t="str">
        <f>SmtRes!O50</f>
        <v>маш.-ч</v>
      </c>
      <c r="E19">
        <f>SmtRes!Y50</f>
        <v>0.0024000000000000002</v>
      </c>
      <c r="F19">
        <f>SmtRes!Y50*Source!I43</f>
        <v>0.0024000000000000002</v>
      </c>
      <c r="G19">
        <f>ROUND(SmtRes!AB50,2)</f>
        <v>74.44</v>
      </c>
      <c r="H19">
        <f>ROUND(SmtRes!AB50*SmtRes!Y50*Source!I43,2)</f>
        <v>0.18</v>
      </c>
      <c r="Z19" t="s">
        <v>253</v>
      </c>
    </row>
    <row r="20" spans="1:26" ht="12.75">
      <c r="A20">
        <f>SmtRes!H55</f>
        <v>2</v>
      </c>
      <c r="B20" t="str">
        <f>SmtRes!I55</f>
        <v>2.1-18-7</v>
      </c>
      <c r="C20" t="str">
        <f>SmtRes!K55</f>
        <v>АВТОМОБИЛИ ГРУЗОВЫЕ БОРТОВЫЕ, ГРУЗОПОДЪЕМНОСТЬ ДО 5 Т</v>
      </c>
      <c r="D20" t="str">
        <f>SmtRes!O55</f>
        <v>маш.-ч</v>
      </c>
      <c r="E20">
        <f>SmtRes!Y55</f>
        <v>0.0125</v>
      </c>
      <c r="F20">
        <f>SmtRes!Y55*Source!I44</f>
        <v>0.0125</v>
      </c>
      <c r="G20">
        <f>ROUND(SmtRes!AB55,2)</f>
        <v>74.44</v>
      </c>
      <c r="H20">
        <f>ROUND(SmtRes!AB55*SmtRes!Y55*Source!I44,2)</f>
        <v>0.93</v>
      </c>
      <c r="Z20" t="s">
        <v>253</v>
      </c>
    </row>
    <row r="21" spans="1:26" ht="12.75">
      <c r="A21">
        <f>SmtRes!H22</f>
        <v>2</v>
      </c>
      <c r="B21" t="str">
        <f>SmtRes!I22</f>
        <v>2.1-30-54</v>
      </c>
      <c r="C21" t="str">
        <f>SmtRes!K22</f>
        <v>МОЛОТКИ ОТБОЙНЫЕ</v>
      </c>
      <c r="D21" t="str">
        <f>SmtRes!O22</f>
        <v>маш.-ч</v>
      </c>
      <c r="E21">
        <f>SmtRes!Y22</f>
        <v>1.19</v>
      </c>
      <c r="F21">
        <f>SmtRes!Y22*Source!I33</f>
        <v>2.4871</v>
      </c>
      <c r="G21">
        <f>ROUND(SmtRes!AB22,2)</f>
        <v>3.16</v>
      </c>
      <c r="H21">
        <f>ROUND(SmtRes!AB22*SmtRes!Y22*Source!I33,2)</f>
        <v>7.86</v>
      </c>
      <c r="Z21" t="s">
        <v>244</v>
      </c>
    </row>
    <row r="22" spans="1:26" ht="12.75">
      <c r="A22">
        <f>SmtRes!H35</f>
        <v>2</v>
      </c>
      <c r="B22" t="str">
        <f>SmtRes!I35</f>
        <v>2.1-30-54</v>
      </c>
      <c r="C22" t="str">
        <f>SmtRes!K35</f>
        <v>МОЛОТКИ ОТБОЙНЫЕ</v>
      </c>
      <c r="D22" t="str">
        <f>SmtRes!O35</f>
        <v>маш.-ч</v>
      </c>
      <c r="E22">
        <f>SmtRes!Y35</f>
        <v>1.19</v>
      </c>
      <c r="F22">
        <f>SmtRes!Y35*Source!I37</f>
        <v>0.1666</v>
      </c>
      <c r="G22">
        <f>ROUND(SmtRes!AB35,2)</f>
        <v>3.16</v>
      </c>
      <c r="H22">
        <f>ROUND(SmtRes!AB35*SmtRes!Y35*Source!I37,2)</f>
        <v>0.53</v>
      </c>
      <c r="Z22" t="s">
        <v>244</v>
      </c>
    </row>
    <row r="23" spans="1:26" ht="12.75">
      <c r="A23">
        <f>SmtRes!H23</f>
        <v>2</v>
      </c>
      <c r="B23" t="str">
        <f>SmtRes!I23</f>
        <v>2.1-4-30</v>
      </c>
      <c r="C23" t="str">
        <f>SmtRes!K23</f>
        <v>ЛЕБЕДКИ ЭЛЕКТРИЧЕСКИЕ, ГРУЗОПОДЪЕМНОСТЬ ДО 0,5 Т</v>
      </c>
      <c r="D23" t="str">
        <f>SmtRes!O23</f>
        <v>маш.-ч</v>
      </c>
      <c r="E23">
        <f>SmtRes!Y23</f>
        <v>1.18</v>
      </c>
      <c r="F23">
        <f>SmtRes!Y23*Source!I33</f>
        <v>2.4661999999999997</v>
      </c>
      <c r="G23">
        <f>ROUND(SmtRes!AB23,2)</f>
        <v>1.28</v>
      </c>
      <c r="H23">
        <f>ROUND(SmtRes!AB23*SmtRes!Y23*Source!I33,2)</f>
        <v>3.16</v>
      </c>
      <c r="Z23" t="s">
        <v>245</v>
      </c>
    </row>
    <row r="24" spans="1:26" ht="12.75">
      <c r="A24">
        <f>SmtRes!H36</f>
        <v>2</v>
      </c>
      <c r="B24" t="str">
        <f>SmtRes!I36</f>
        <v>2.1-4-30</v>
      </c>
      <c r="C24" t="str">
        <f>SmtRes!K36</f>
        <v>ЛЕБЕДКИ ЭЛЕКТРИЧЕСКИЕ, ГРУЗОПОДЪЕМНОСТЬ ДО 0,5 Т</v>
      </c>
      <c r="D24" t="str">
        <f>SmtRes!O36</f>
        <v>маш.-ч</v>
      </c>
      <c r="E24">
        <f>SmtRes!Y36</f>
        <v>1.18</v>
      </c>
      <c r="F24">
        <f>SmtRes!Y36*Source!I37</f>
        <v>0.1652</v>
      </c>
      <c r="G24">
        <f>ROUND(SmtRes!AB36,2)</f>
        <v>1.28</v>
      </c>
      <c r="H24">
        <f>ROUND(SmtRes!AB36*SmtRes!Y36*Source!I37,2)</f>
        <v>0.21</v>
      </c>
      <c r="Z24" t="s">
        <v>245</v>
      </c>
    </row>
    <row r="25" spans="1:27" ht="12.75">
      <c r="A25">
        <f>SmtRes!H5</f>
        <v>3</v>
      </c>
      <c r="B25" t="str">
        <f>SmtRes!I5</f>
        <v>0.0-0-0</v>
      </c>
      <c r="C25" t="str">
        <f>SmtRes!K5</f>
        <v>МАССА МУСОРА</v>
      </c>
      <c r="D25" t="str">
        <f>SmtRes!O5</f>
        <v>т</v>
      </c>
      <c r="E25">
        <f>SmtRes!Y5</f>
        <v>1.02</v>
      </c>
      <c r="F25">
        <f>SmtRes!Y5*Source!I25</f>
        <v>7.10124</v>
      </c>
      <c r="G25">
        <f>ROUND(SmtRes!AA5,2)</f>
        <v>0</v>
      </c>
      <c r="H25">
        <f>ROUND(SmtRes!AA5*SmtRes!Y5*Source!I25,2)</f>
        <v>0</v>
      </c>
      <c r="I25">
        <f>SmtRes!CC5</f>
        <v>0</v>
      </c>
      <c r="J25">
        <f>SmtRes!CD5</f>
        <v>0</v>
      </c>
      <c r="K25">
        <f>SmtRes!CE5</f>
        <v>0</v>
      </c>
      <c r="L25">
        <f>SmtRes!CF5</f>
        <v>0</v>
      </c>
      <c r="M25">
        <f>SmtRes!CG5</f>
        <v>0</v>
      </c>
      <c r="N25">
        <f>SmtRes!CH5</f>
        <v>0</v>
      </c>
      <c r="O25">
        <f>SmtRes!CI5</f>
        <v>0</v>
      </c>
      <c r="P25">
        <f>SmtRes!CJ5</f>
        <v>0</v>
      </c>
      <c r="Q25">
        <f>SmtRes!CK5</f>
        <v>0</v>
      </c>
      <c r="R25">
        <f>SmtRes!CL5</f>
        <v>0</v>
      </c>
      <c r="S25">
        <f>SmtRes!CM5</f>
        <v>0</v>
      </c>
      <c r="T25">
        <f>SmtRes!CN5</f>
        <v>0</v>
      </c>
      <c r="U25">
        <f>SmtRes!CO5</f>
        <v>0</v>
      </c>
      <c r="V25">
        <f>SmtRes!CP5</f>
        <v>0</v>
      </c>
      <c r="W25">
        <f>SmtRes!CQ5</f>
        <v>0</v>
      </c>
      <c r="X25">
        <f>SmtRes!CR5</f>
        <v>0</v>
      </c>
      <c r="Y25">
        <f>SmtRes!CB5</f>
        <v>0</v>
      </c>
      <c r="Z25" t="s">
        <v>239</v>
      </c>
      <c r="AA25">
        <f>SmtRes!CS5</f>
        <v>0</v>
      </c>
    </row>
    <row r="26" spans="1:27" ht="12.75">
      <c r="A26">
        <f>SmtRes!H7</f>
        <v>3</v>
      </c>
      <c r="B26" t="str">
        <f>SmtRes!I7</f>
        <v>0.0-0-0</v>
      </c>
      <c r="C26" t="str">
        <f>SmtRes!K7</f>
        <v>МАССА МУСОРА</v>
      </c>
      <c r="D26" t="str">
        <f>SmtRes!O7</f>
        <v>т</v>
      </c>
      <c r="E26">
        <f>SmtRes!Y7</f>
        <v>0.162</v>
      </c>
      <c r="F26">
        <f>SmtRes!Y7*Source!I26</f>
        <v>0.01782</v>
      </c>
      <c r="G26">
        <f>ROUND(SmtRes!AA7,2)</f>
        <v>0</v>
      </c>
      <c r="H26">
        <f>ROUND(SmtRes!AA7*SmtRes!Y7*Source!I26,2)</f>
        <v>0</v>
      </c>
      <c r="I26">
        <f>SmtRes!CC7</f>
        <v>0</v>
      </c>
      <c r="J26">
        <f>SmtRes!CD7</f>
        <v>0</v>
      </c>
      <c r="K26">
        <f>SmtRes!CE7</f>
        <v>0</v>
      </c>
      <c r="L26">
        <f>SmtRes!CF7</f>
        <v>0</v>
      </c>
      <c r="M26">
        <f>SmtRes!CG7</f>
        <v>0</v>
      </c>
      <c r="N26">
        <f>SmtRes!CH7</f>
        <v>0</v>
      </c>
      <c r="O26">
        <f>SmtRes!CI7</f>
        <v>0</v>
      </c>
      <c r="P26">
        <f>SmtRes!CJ7</f>
        <v>0</v>
      </c>
      <c r="Q26">
        <f>SmtRes!CK7</f>
        <v>0</v>
      </c>
      <c r="R26">
        <f>SmtRes!CL7</f>
        <v>0</v>
      </c>
      <c r="S26">
        <f>SmtRes!CM7</f>
        <v>0</v>
      </c>
      <c r="T26">
        <f>SmtRes!CN7</f>
        <v>0</v>
      </c>
      <c r="U26">
        <f>SmtRes!CO7</f>
        <v>0</v>
      </c>
      <c r="V26">
        <f>SmtRes!CP7</f>
        <v>0</v>
      </c>
      <c r="W26">
        <f>SmtRes!CQ7</f>
        <v>0</v>
      </c>
      <c r="X26">
        <f>SmtRes!CR7</f>
        <v>0</v>
      </c>
      <c r="Y26">
        <f>SmtRes!CB7</f>
        <v>0</v>
      </c>
      <c r="Z26" t="s">
        <v>239</v>
      </c>
      <c r="AA26">
        <f>SmtRes!CS7</f>
        <v>0</v>
      </c>
    </row>
    <row r="27" spans="1:27" ht="12.75">
      <c r="A27">
        <f>SmtRes!H11</f>
        <v>3</v>
      </c>
      <c r="B27" t="str">
        <f>SmtRes!I11</f>
        <v>0.0-0-0</v>
      </c>
      <c r="C27" t="str">
        <f>SmtRes!K11</f>
        <v>МАССА МУСОРА</v>
      </c>
      <c r="D27" t="str">
        <f>SmtRes!O11</f>
        <v>т</v>
      </c>
      <c r="E27">
        <f>SmtRes!Y11</f>
        <v>1.02</v>
      </c>
      <c r="F27">
        <f>SmtRes!Y11*Source!I28</f>
        <v>1.2352200000000002</v>
      </c>
      <c r="G27">
        <f>ROUND(SmtRes!AA11,2)</f>
        <v>0</v>
      </c>
      <c r="H27">
        <f>ROUND(SmtRes!AA11*SmtRes!Y11*Source!I28,2)</f>
        <v>0</v>
      </c>
      <c r="I27">
        <f>SmtRes!CC11</f>
        <v>0</v>
      </c>
      <c r="J27">
        <f>SmtRes!CD11</f>
        <v>0</v>
      </c>
      <c r="K27">
        <f>SmtRes!CE11</f>
        <v>0</v>
      </c>
      <c r="L27">
        <f>SmtRes!CF11</f>
        <v>0</v>
      </c>
      <c r="M27">
        <f>SmtRes!CG11</f>
        <v>0</v>
      </c>
      <c r="N27">
        <f>SmtRes!CH11</f>
        <v>0</v>
      </c>
      <c r="O27">
        <f>SmtRes!CI11</f>
        <v>0</v>
      </c>
      <c r="P27">
        <f>SmtRes!CJ11</f>
        <v>0</v>
      </c>
      <c r="Q27">
        <f>SmtRes!CK11</f>
        <v>0</v>
      </c>
      <c r="R27">
        <f>SmtRes!CL11</f>
        <v>0</v>
      </c>
      <c r="S27">
        <f>SmtRes!CM11</f>
        <v>0</v>
      </c>
      <c r="T27">
        <f>SmtRes!CN11</f>
        <v>0</v>
      </c>
      <c r="U27">
        <f>SmtRes!CO11</f>
        <v>0</v>
      </c>
      <c r="V27">
        <f>SmtRes!CP11</f>
        <v>0</v>
      </c>
      <c r="W27">
        <f>SmtRes!CQ11</f>
        <v>0</v>
      </c>
      <c r="X27">
        <f>SmtRes!CR11</f>
        <v>0</v>
      </c>
      <c r="Y27">
        <f>SmtRes!CB11</f>
        <v>0</v>
      </c>
      <c r="Z27" t="s">
        <v>239</v>
      </c>
      <c r="AA27">
        <f>SmtRes!CS11</f>
        <v>0</v>
      </c>
    </row>
    <row r="28" spans="1:27" ht="12.75">
      <c r="A28">
        <f>SmtRes!H13</f>
        <v>3</v>
      </c>
      <c r="B28" t="str">
        <f>SmtRes!I13</f>
        <v>0.0-0-0</v>
      </c>
      <c r="C28" t="str">
        <f>SmtRes!K13</f>
        <v>МАССА МУСОРА</v>
      </c>
      <c r="D28" t="str">
        <f>SmtRes!O13</f>
        <v>т</v>
      </c>
      <c r="E28">
        <f>SmtRes!Y13</f>
        <v>0.33</v>
      </c>
      <c r="F28">
        <f>SmtRes!Y13*Source!I29</f>
        <v>0.2013</v>
      </c>
      <c r="G28">
        <f>ROUND(SmtRes!AA13,2)</f>
        <v>0</v>
      </c>
      <c r="H28">
        <f>ROUND(SmtRes!AA13*SmtRes!Y13*Source!I29,2)</f>
        <v>0</v>
      </c>
      <c r="I28">
        <f>SmtRes!CC13</f>
        <v>0</v>
      </c>
      <c r="J28">
        <f>SmtRes!CD13</f>
        <v>0</v>
      </c>
      <c r="K28">
        <f>SmtRes!CE13</f>
        <v>0</v>
      </c>
      <c r="L28">
        <f>SmtRes!CF13</f>
        <v>0</v>
      </c>
      <c r="M28">
        <f>SmtRes!CG13</f>
        <v>0</v>
      </c>
      <c r="N28">
        <f>SmtRes!CH13</f>
        <v>0</v>
      </c>
      <c r="O28">
        <f>SmtRes!CI13</f>
        <v>0</v>
      </c>
      <c r="P28">
        <f>SmtRes!CJ13</f>
        <v>0</v>
      </c>
      <c r="Q28">
        <f>SmtRes!CK13</f>
        <v>0</v>
      </c>
      <c r="R28">
        <f>SmtRes!CL13</f>
        <v>0</v>
      </c>
      <c r="S28">
        <f>SmtRes!CM13</f>
        <v>0</v>
      </c>
      <c r="T28">
        <f>SmtRes!CN13</f>
        <v>0</v>
      </c>
      <c r="U28">
        <f>SmtRes!CO13</f>
        <v>0</v>
      </c>
      <c r="V28">
        <f>SmtRes!CP13</f>
        <v>0</v>
      </c>
      <c r="W28">
        <f>SmtRes!CQ13</f>
        <v>0</v>
      </c>
      <c r="X28">
        <f>SmtRes!CR13</f>
        <v>0</v>
      </c>
      <c r="Y28">
        <f>SmtRes!CB13</f>
        <v>0</v>
      </c>
      <c r="Z28" t="s">
        <v>239</v>
      </c>
      <c r="AA28">
        <f>SmtRes!CS13</f>
        <v>0</v>
      </c>
    </row>
    <row r="29" spans="1:27" ht="12.75">
      <c r="A29">
        <f>SmtRes!H18</f>
        <v>3</v>
      </c>
      <c r="B29" t="str">
        <f>SmtRes!I18</f>
        <v>0.0-0-0</v>
      </c>
      <c r="C29" t="str">
        <f>SmtRes!K18</f>
        <v>МАССА МУСОРА</v>
      </c>
      <c r="D29" t="str">
        <f>SmtRes!O18</f>
        <v>т</v>
      </c>
      <c r="E29">
        <f>SmtRes!Y18</f>
        <v>0.052</v>
      </c>
      <c r="F29">
        <f>SmtRes!Y18*Source!I31</f>
        <v>0.0052</v>
      </c>
      <c r="G29">
        <f>ROUND(SmtRes!AA18,2)</f>
        <v>0</v>
      </c>
      <c r="H29">
        <f>ROUND(SmtRes!AA18*SmtRes!Y18*Source!I31,2)</f>
        <v>0</v>
      </c>
      <c r="I29">
        <f>SmtRes!CC18</f>
        <v>0</v>
      </c>
      <c r="J29">
        <f>SmtRes!CD18</f>
        <v>0</v>
      </c>
      <c r="K29">
        <f>SmtRes!CE18</f>
        <v>0</v>
      </c>
      <c r="L29">
        <f>SmtRes!CF18</f>
        <v>0</v>
      </c>
      <c r="M29">
        <f>SmtRes!CG18</f>
        <v>0</v>
      </c>
      <c r="N29">
        <f>SmtRes!CH18</f>
        <v>0</v>
      </c>
      <c r="O29">
        <f>SmtRes!CI18</f>
        <v>0</v>
      </c>
      <c r="P29">
        <f>SmtRes!CJ18</f>
        <v>0</v>
      </c>
      <c r="Q29">
        <f>SmtRes!CK18</f>
        <v>0</v>
      </c>
      <c r="R29">
        <f>SmtRes!CL18</f>
        <v>0</v>
      </c>
      <c r="S29">
        <f>SmtRes!CM18</f>
        <v>0</v>
      </c>
      <c r="T29">
        <f>SmtRes!CN18</f>
        <v>0</v>
      </c>
      <c r="U29">
        <f>SmtRes!CO18</f>
        <v>0</v>
      </c>
      <c r="V29">
        <f>SmtRes!CP18</f>
        <v>0</v>
      </c>
      <c r="W29">
        <f>SmtRes!CQ18</f>
        <v>0</v>
      </c>
      <c r="X29">
        <f>SmtRes!CR18</f>
        <v>0</v>
      </c>
      <c r="Y29">
        <f>SmtRes!CB18</f>
        <v>0</v>
      </c>
      <c r="Z29" t="s">
        <v>239</v>
      </c>
      <c r="AA29">
        <f>SmtRes!CS18</f>
        <v>0</v>
      </c>
    </row>
    <row r="30" spans="1:27" ht="12.75">
      <c r="A30">
        <f>SmtRes!H24</f>
        <v>3</v>
      </c>
      <c r="B30" t="str">
        <f>SmtRes!I24</f>
        <v>0.0-0-0</v>
      </c>
      <c r="C30" t="str">
        <f>SmtRes!K24</f>
        <v>МАССА МУСОРА</v>
      </c>
      <c r="D30" t="str">
        <f>SmtRes!O24</f>
        <v>т</v>
      </c>
      <c r="E30">
        <f>SmtRes!Y24</f>
        <v>1.28</v>
      </c>
      <c r="F30">
        <f>SmtRes!Y24*Source!I33</f>
        <v>2.6752</v>
      </c>
      <c r="G30">
        <f>ROUND(SmtRes!AA24,2)</f>
        <v>0</v>
      </c>
      <c r="H30">
        <f>ROUND(SmtRes!AA24*SmtRes!Y24*Source!I33,2)</f>
        <v>0</v>
      </c>
      <c r="I30">
        <f>SmtRes!CC24</f>
        <v>0</v>
      </c>
      <c r="J30">
        <f>SmtRes!CD24</f>
        <v>0</v>
      </c>
      <c r="K30">
        <f>SmtRes!CE24</f>
        <v>0</v>
      </c>
      <c r="L30">
        <f>SmtRes!CF24</f>
        <v>0</v>
      </c>
      <c r="M30">
        <f>SmtRes!CG24</f>
        <v>0</v>
      </c>
      <c r="N30">
        <f>SmtRes!CH24</f>
        <v>0</v>
      </c>
      <c r="O30">
        <f>SmtRes!CI24</f>
        <v>0</v>
      </c>
      <c r="P30">
        <f>SmtRes!CJ24</f>
        <v>0</v>
      </c>
      <c r="Q30">
        <f>SmtRes!CK24</f>
        <v>0</v>
      </c>
      <c r="R30">
        <f>SmtRes!CL24</f>
        <v>0</v>
      </c>
      <c r="S30">
        <f>SmtRes!CM24</f>
        <v>0</v>
      </c>
      <c r="T30">
        <f>SmtRes!CN24</f>
        <v>0</v>
      </c>
      <c r="U30">
        <f>SmtRes!CO24</f>
        <v>0</v>
      </c>
      <c r="V30">
        <f>SmtRes!CP24</f>
        <v>0</v>
      </c>
      <c r="W30">
        <f>SmtRes!CQ24</f>
        <v>0</v>
      </c>
      <c r="X30">
        <f>SmtRes!CR24</f>
        <v>0</v>
      </c>
      <c r="Y30">
        <f>SmtRes!CB24</f>
        <v>0</v>
      </c>
      <c r="Z30" t="s">
        <v>239</v>
      </c>
      <c r="AA30">
        <f>SmtRes!CS24</f>
        <v>0</v>
      </c>
    </row>
    <row r="31" spans="1:27" ht="12.75">
      <c r="A31">
        <f>SmtRes!H37</f>
        <v>3</v>
      </c>
      <c r="B31" t="str">
        <f>SmtRes!I37</f>
        <v>0.0-0-0</v>
      </c>
      <c r="C31" t="str">
        <f>SmtRes!K37</f>
        <v>МАССА МУСОРА</v>
      </c>
      <c r="D31" t="str">
        <f>SmtRes!O37</f>
        <v>т</v>
      </c>
      <c r="E31">
        <f>SmtRes!Y37</f>
        <v>1.28</v>
      </c>
      <c r="F31">
        <f>SmtRes!Y37*Source!I37</f>
        <v>0.17920000000000003</v>
      </c>
      <c r="G31">
        <f>ROUND(SmtRes!AA37,2)</f>
        <v>0</v>
      </c>
      <c r="H31">
        <f>ROUND(SmtRes!AA37*SmtRes!Y37*Source!I37,2)</f>
        <v>0</v>
      </c>
      <c r="I31">
        <f>SmtRes!CC37</f>
        <v>0</v>
      </c>
      <c r="J31">
        <f>SmtRes!CD37</f>
        <v>0</v>
      </c>
      <c r="K31">
        <f>SmtRes!CE37</f>
        <v>0</v>
      </c>
      <c r="L31">
        <f>SmtRes!CF37</f>
        <v>0</v>
      </c>
      <c r="M31">
        <f>SmtRes!CG37</f>
        <v>0</v>
      </c>
      <c r="N31">
        <f>SmtRes!CH37</f>
        <v>0</v>
      </c>
      <c r="O31">
        <f>SmtRes!CI37</f>
        <v>0</v>
      </c>
      <c r="P31">
        <f>SmtRes!CJ37</f>
        <v>0</v>
      </c>
      <c r="Q31">
        <f>SmtRes!CK37</f>
        <v>0</v>
      </c>
      <c r="R31">
        <f>SmtRes!CL37</f>
        <v>0</v>
      </c>
      <c r="S31">
        <f>SmtRes!CM37</f>
        <v>0</v>
      </c>
      <c r="T31">
        <f>SmtRes!CN37</f>
        <v>0</v>
      </c>
      <c r="U31">
        <f>SmtRes!CO37</f>
        <v>0</v>
      </c>
      <c r="V31">
        <f>SmtRes!CP37</f>
        <v>0</v>
      </c>
      <c r="W31">
        <f>SmtRes!CQ37</f>
        <v>0</v>
      </c>
      <c r="X31">
        <f>SmtRes!CR37</f>
        <v>0</v>
      </c>
      <c r="Y31">
        <f>SmtRes!CB37</f>
        <v>0</v>
      </c>
      <c r="Z31" t="s">
        <v>239</v>
      </c>
      <c r="AA31">
        <f>SmtRes!CS37</f>
        <v>0</v>
      </c>
    </row>
    <row r="32" spans="1:27" ht="12.75">
      <c r="A32">
        <f>SmtRes!H8</f>
        <v>3</v>
      </c>
      <c r="B32" t="str">
        <f>SmtRes!I8</f>
        <v>1.1-1-1079</v>
      </c>
      <c r="C32" t="str">
        <f>SmtRes!K8</f>
        <v>СТАЛЬ ЛИСТОВАЯ, ОЦИНКОВАННАЯ, ТОЛЩИНА 0,5 ММ</v>
      </c>
      <c r="D32" t="str">
        <f>SmtRes!O8</f>
        <v>т</v>
      </c>
      <c r="E32">
        <f>SmtRes!Y8</f>
        <v>0.136364</v>
      </c>
      <c r="F32">
        <f>SmtRes!Y8*Source!I26</f>
        <v>0.015000040000000001</v>
      </c>
      <c r="G32">
        <f>ROUND(SmtRes!AA8,2)</f>
        <v>15328.48</v>
      </c>
      <c r="H32">
        <f>ROUND(SmtRes!AA8*SmtRes!Y8*Source!I26,2)</f>
        <v>229.93</v>
      </c>
      <c r="I32">
        <f>SmtRes!CC8</f>
        <v>0</v>
      </c>
      <c r="J32">
        <f>SmtRes!CD8</f>
        <v>0</v>
      </c>
      <c r="K32">
        <f>SmtRes!CE8</f>
        <v>0</v>
      </c>
      <c r="L32">
        <f>SmtRes!CF8</f>
        <v>0</v>
      </c>
      <c r="M32">
        <f>SmtRes!CG8</f>
        <v>0</v>
      </c>
      <c r="N32">
        <f>SmtRes!CH8</f>
        <v>0</v>
      </c>
      <c r="O32">
        <f>SmtRes!CI8</f>
        <v>0</v>
      </c>
      <c r="P32">
        <f>SmtRes!CJ8</f>
        <v>0</v>
      </c>
      <c r="Q32">
        <f>SmtRes!CK8</f>
        <v>0</v>
      </c>
      <c r="R32">
        <f>SmtRes!CL8</f>
        <v>0</v>
      </c>
      <c r="S32">
        <f>SmtRes!CM8</f>
        <v>0</v>
      </c>
      <c r="T32">
        <f>SmtRes!CN8</f>
        <v>0</v>
      </c>
      <c r="U32">
        <f>SmtRes!CO8</f>
        <v>0</v>
      </c>
      <c r="V32">
        <f>SmtRes!CP8</f>
        <v>0</v>
      </c>
      <c r="W32">
        <f>SmtRes!CQ8</f>
        <v>0</v>
      </c>
      <c r="X32">
        <f>SmtRes!CR8</f>
        <v>0</v>
      </c>
      <c r="Y32">
        <f>SmtRes!CB8</f>
        <v>0</v>
      </c>
      <c r="Z32" t="s">
        <v>240</v>
      </c>
      <c r="AA32">
        <f>SmtRes!CS8</f>
        <v>0</v>
      </c>
    </row>
    <row r="33" spans="1:27" ht="12.75">
      <c r="A33">
        <f>SmtRes!H14</f>
        <v>3</v>
      </c>
      <c r="B33" t="str">
        <f>SmtRes!I14</f>
        <v>1.1-1-1079</v>
      </c>
      <c r="C33" t="str">
        <f>SmtRes!K14</f>
        <v>СТАЛЬ ЛИСТОВАЯ, ОЦИНКОВАННАЯ, ТОЛЩИНА 0,5 ММ</v>
      </c>
      <c r="D33" t="str">
        <f>SmtRes!O14</f>
        <v>т</v>
      </c>
      <c r="E33">
        <f>SmtRes!Y14</f>
        <v>0.32459</v>
      </c>
      <c r="F33">
        <f>SmtRes!Y14*Source!I29</f>
        <v>0.19799989999999998</v>
      </c>
      <c r="G33">
        <f>ROUND(SmtRes!AA14,2)</f>
        <v>15328.48</v>
      </c>
      <c r="H33">
        <f>ROUND(SmtRes!AA14*SmtRes!Y14*Source!I29,2)</f>
        <v>3035.04</v>
      </c>
      <c r="I33">
        <f>SmtRes!CC14</f>
        <v>0</v>
      </c>
      <c r="J33">
        <f>SmtRes!CD14</f>
        <v>0</v>
      </c>
      <c r="K33">
        <f>SmtRes!CE14</f>
        <v>0</v>
      </c>
      <c r="L33">
        <f>SmtRes!CF14</f>
        <v>0</v>
      </c>
      <c r="M33">
        <f>SmtRes!CG14</f>
        <v>0</v>
      </c>
      <c r="N33">
        <f>SmtRes!CH14</f>
        <v>0</v>
      </c>
      <c r="O33">
        <f>SmtRes!CI14</f>
        <v>0</v>
      </c>
      <c r="P33">
        <f>SmtRes!CJ14</f>
        <v>0</v>
      </c>
      <c r="Q33">
        <f>SmtRes!CK14</f>
        <v>0</v>
      </c>
      <c r="R33">
        <f>SmtRes!CL14</f>
        <v>0</v>
      </c>
      <c r="S33">
        <f>SmtRes!CM14</f>
        <v>0</v>
      </c>
      <c r="T33">
        <f>SmtRes!CN14</f>
        <v>0</v>
      </c>
      <c r="U33">
        <f>SmtRes!CO14</f>
        <v>0</v>
      </c>
      <c r="V33">
        <f>SmtRes!CP14</f>
        <v>0</v>
      </c>
      <c r="W33">
        <f>SmtRes!CQ14</f>
        <v>0</v>
      </c>
      <c r="X33">
        <f>SmtRes!CR14</f>
        <v>0</v>
      </c>
      <c r="Y33">
        <f>SmtRes!CB14</f>
        <v>0</v>
      </c>
      <c r="Z33" t="s">
        <v>240</v>
      </c>
      <c r="AA33">
        <f>SmtRes!CS14</f>
        <v>0</v>
      </c>
    </row>
    <row r="34" spans="1:27" ht="12.75">
      <c r="A34">
        <f>SmtRes!H19</f>
        <v>3</v>
      </c>
      <c r="B34" t="str">
        <f>SmtRes!I19</f>
        <v>1.1-1-1079</v>
      </c>
      <c r="C34" t="str">
        <f>SmtRes!K19</f>
        <v>СТАЛЬ ЛИСТОВАЯ, ОЦИНКОВАННАЯ, ТОЛЩИНА 0,5 ММ</v>
      </c>
      <c r="D34" t="str">
        <f>SmtRes!O19</f>
        <v>т</v>
      </c>
      <c r="E34">
        <f>SmtRes!Y19</f>
        <v>0.05</v>
      </c>
      <c r="F34">
        <f>SmtRes!Y19*Source!I31</f>
        <v>0.005000000000000001</v>
      </c>
      <c r="G34">
        <f>ROUND(SmtRes!AA19,2)</f>
        <v>15328.48</v>
      </c>
      <c r="H34">
        <f>ROUND(SmtRes!AA19*SmtRes!Y19*Source!I31,2)</f>
        <v>76.64</v>
      </c>
      <c r="I34">
        <f>SmtRes!CC19</f>
        <v>0</v>
      </c>
      <c r="J34">
        <f>SmtRes!CD19</f>
        <v>0</v>
      </c>
      <c r="K34">
        <f>SmtRes!CE19</f>
        <v>0</v>
      </c>
      <c r="L34">
        <f>SmtRes!CF19</f>
        <v>0</v>
      </c>
      <c r="M34">
        <f>SmtRes!CG19</f>
        <v>0</v>
      </c>
      <c r="N34">
        <f>SmtRes!CH19</f>
        <v>0</v>
      </c>
      <c r="O34">
        <f>SmtRes!CI19</f>
        <v>0</v>
      </c>
      <c r="P34">
        <f>SmtRes!CJ19</f>
        <v>0</v>
      </c>
      <c r="Q34">
        <f>SmtRes!CK19</f>
        <v>0</v>
      </c>
      <c r="R34">
        <f>SmtRes!CL19</f>
        <v>0</v>
      </c>
      <c r="S34">
        <f>SmtRes!CM19</f>
        <v>0</v>
      </c>
      <c r="T34">
        <f>SmtRes!CN19</f>
        <v>0</v>
      </c>
      <c r="U34">
        <f>SmtRes!CO19</f>
        <v>0</v>
      </c>
      <c r="V34">
        <f>SmtRes!CP19</f>
        <v>0</v>
      </c>
      <c r="W34">
        <f>SmtRes!CQ19</f>
        <v>0</v>
      </c>
      <c r="X34">
        <f>SmtRes!CR19</f>
        <v>0</v>
      </c>
      <c r="Y34">
        <f>SmtRes!CB19</f>
        <v>0</v>
      </c>
      <c r="Z34" t="s">
        <v>240</v>
      </c>
      <c r="AA34">
        <f>SmtRes!CS19</f>
        <v>0</v>
      </c>
    </row>
    <row r="35" spans="1:27" ht="12.75">
      <c r="A35">
        <f>SmtRes!H29</f>
        <v>3</v>
      </c>
      <c r="B35" t="str">
        <f>SmtRes!I29</f>
        <v>1.1-1-1312</v>
      </c>
      <c r="C35" t="str">
        <f>SmtRes!K29</f>
        <v>МАТЕРИАЛ РУЛОННЫЙ КРОВЕЛЬНЫЙ, ФИЛИЗОЛ, МАРКА 'В'</v>
      </c>
      <c r="D35" t="str">
        <f>SmtRes!O29</f>
        <v>м2</v>
      </c>
      <c r="E35">
        <f>SmtRes!Y29</f>
        <v>135</v>
      </c>
      <c r="F35">
        <f>SmtRes!Y29*Source!I34</f>
        <v>939.87</v>
      </c>
      <c r="G35">
        <f>ROUND(SmtRes!AA29,2)</f>
        <v>25.09</v>
      </c>
      <c r="H35">
        <f>ROUND(SmtRes!AA29*SmtRes!Y29*Source!I34,2)</f>
        <v>23581.34</v>
      </c>
      <c r="I35">
        <f>SmtRes!CC29</f>
        <v>0</v>
      </c>
      <c r="J35">
        <f>SmtRes!CD29</f>
        <v>0</v>
      </c>
      <c r="K35">
        <f>SmtRes!CE29</f>
        <v>0</v>
      </c>
      <c r="L35">
        <f>SmtRes!CF29</f>
        <v>0</v>
      </c>
      <c r="M35">
        <f>SmtRes!CG29</f>
        <v>0</v>
      </c>
      <c r="N35">
        <f>SmtRes!CH29</f>
        <v>0</v>
      </c>
      <c r="O35">
        <f>SmtRes!CI29</f>
        <v>0</v>
      </c>
      <c r="P35">
        <f>SmtRes!CJ29</f>
        <v>0</v>
      </c>
      <c r="Q35">
        <f>SmtRes!CK29</f>
        <v>0</v>
      </c>
      <c r="R35">
        <f>SmtRes!CL29</f>
        <v>0</v>
      </c>
      <c r="S35">
        <f>SmtRes!CM29</f>
        <v>0</v>
      </c>
      <c r="T35">
        <f>SmtRes!CN29</f>
        <v>0</v>
      </c>
      <c r="U35">
        <f>SmtRes!CO29</f>
        <v>0</v>
      </c>
      <c r="V35">
        <f>SmtRes!CP29</f>
        <v>0</v>
      </c>
      <c r="W35">
        <f>SmtRes!CQ29</f>
        <v>0</v>
      </c>
      <c r="X35">
        <f>SmtRes!CR29</f>
        <v>0</v>
      </c>
      <c r="Y35">
        <f>SmtRes!CB29</f>
        <v>0</v>
      </c>
      <c r="Z35" t="s">
        <v>248</v>
      </c>
      <c r="AA35">
        <f>SmtRes!CS29</f>
        <v>0</v>
      </c>
    </row>
    <row r="36" spans="1:27" ht="12.75">
      <c r="A36">
        <f>SmtRes!H45</f>
        <v>3</v>
      </c>
      <c r="B36" t="str">
        <f>SmtRes!I45</f>
        <v>1.1-1-1312</v>
      </c>
      <c r="C36" t="str">
        <f>SmtRes!K45</f>
        <v>МАТЕРИАЛ РУЛОННЫЙ КРОВЕЛЬНЫЙ, ФИЛИЗОЛ, МАРКА 'В'</v>
      </c>
      <c r="D36" t="str">
        <f>SmtRes!O45</f>
        <v>м2</v>
      </c>
      <c r="E36">
        <f>SmtRes!Y45</f>
        <v>135</v>
      </c>
      <c r="F36">
        <f>SmtRes!Y45*Source!I40</f>
        <v>163.485</v>
      </c>
      <c r="G36">
        <f>ROUND(SmtRes!AA45,2)</f>
        <v>25.09</v>
      </c>
      <c r="H36">
        <f>ROUND(SmtRes!AA45*SmtRes!Y45*Source!I40,2)</f>
        <v>4101.84</v>
      </c>
      <c r="I36">
        <f>SmtRes!CC45</f>
        <v>0</v>
      </c>
      <c r="J36">
        <f>SmtRes!CD45</f>
        <v>0</v>
      </c>
      <c r="K36">
        <f>SmtRes!CE45</f>
        <v>0</v>
      </c>
      <c r="L36">
        <f>SmtRes!CF45</f>
        <v>0</v>
      </c>
      <c r="M36">
        <f>SmtRes!CG45</f>
        <v>0</v>
      </c>
      <c r="N36">
        <f>SmtRes!CH45</f>
        <v>0</v>
      </c>
      <c r="O36">
        <f>SmtRes!CI45</f>
        <v>0</v>
      </c>
      <c r="P36">
        <f>SmtRes!CJ45</f>
        <v>0</v>
      </c>
      <c r="Q36">
        <f>SmtRes!CK45</f>
        <v>0</v>
      </c>
      <c r="R36">
        <f>SmtRes!CL45</f>
        <v>0</v>
      </c>
      <c r="S36">
        <f>SmtRes!CM45</f>
        <v>0</v>
      </c>
      <c r="T36">
        <f>SmtRes!CN45</f>
        <v>0</v>
      </c>
      <c r="U36">
        <f>SmtRes!CO45</f>
        <v>0</v>
      </c>
      <c r="V36">
        <f>SmtRes!CP45</f>
        <v>0</v>
      </c>
      <c r="W36">
        <f>SmtRes!CQ45</f>
        <v>0</v>
      </c>
      <c r="X36">
        <f>SmtRes!CR45</f>
        <v>0</v>
      </c>
      <c r="Y36">
        <f>SmtRes!CB45</f>
        <v>0</v>
      </c>
      <c r="Z36" t="s">
        <v>248</v>
      </c>
      <c r="AA36">
        <f>SmtRes!CS45</f>
        <v>0</v>
      </c>
    </row>
    <row r="37" spans="1:27" ht="12.75">
      <c r="A37">
        <f>SmtRes!H30</f>
        <v>3</v>
      </c>
      <c r="B37" t="str">
        <f>SmtRes!I30</f>
        <v>1.1-1-1313</v>
      </c>
      <c r="C37" t="str">
        <f>SmtRes!K30</f>
        <v>МАТЕРИАЛ РУЛОННЫЙ КРОВЕЛЬНЫЙ, ФИЛИЗОЛ, МАРКА 'Н'</v>
      </c>
      <c r="D37" t="str">
        <f>SmtRes!O30</f>
        <v>м2</v>
      </c>
      <c r="E37">
        <f>SmtRes!Y30</f>
        <v>132.300057</v>
      </c>
      <c r="F37">
        <f>SmtRes!Y30*Source!I34</f>
        <v>921.072996834</v>
      </c>
      <c r="G37">
        <f>ROUND(SmtRes!AA30,2)</f>
        <v>23.06</v>
      </c>
      <c r="H37">
        <f>ROUND(SmtRes!AA30*SmtRes!Y30*Source!I34,2)</f>
        <v>21239.94</v>
      </c>
      <c r="I37">
        <f>SmtRes!CC30</f>
        <v>0</v>
      </c>
      <c r="J37">
        <f>SmtRes!CD30</f>
        <v>0</v>
      </c>
      <c r="K37">
        <f>SmtRes!CE30</f>
        <v>0</v>
      </c>
      <c r="L37">
        <f>SmtRes!CF30</f>
        <v>0</v>
      </c>
      <c r="M37">
        <f>SmtRes!CG30</f>
        <v>0</v>
      </c>
      <c r="N37">
        <f>SmtRes!CH30</f>
        <v>0</v>
      </c>
      <c r="O37">
        <f>SmtRes!CI30</f>
        <v>0</v>
      </c>
      <c r="P37">
        <f>SmtRes!CJ30</f>
        <v>0</v>
      </c>
      <c r="Q37">
        <f>SmtRes!CK30</f>
        <v>0</v>
      </c>
      <c r="R37">
        <f>SmtRes!CL30</f>
        <v>0</v>
      </c>
      <c r="S37">
        <f>SmtRes!CM30</f>
        <v>0</v>
      </c>
      <c r="T37">
        <f>SmtRes!CN30</f>
        <v>0</v>
      </c>
      <c r="U37">
        <f>SmtRes!CO30</f>
        <v>0</v>
      </c>
      <c r="V37">
        <f>SmtRes!CP30</f>
        <v>0</v>
      </c>
      <c r="W37">
        <f>SmtRes!CQ30</f>
        <v>0</v>
      </c>
      <c r="X37">
        <f>SmtRes!CR30</f>
        <v>0</v>
      </c>
      <c r="Y37">
        <f>SmtRes!CB30</f>
        <v>0</v>
      </c>
      <c r="Z37" t="s">
        <v>249</v>
      </c>
      <c r="AA37">
        <f>SmtRes!CS30</f>
        <v>0</v>
      </c>
    </row>
    <row r="38" spans="1:27" ht="12.75">
      <c r="A38">
        <f>SmtRes!H46</f>
        <v>3</v>
      </c>
      <c r="B38" t="str">
        <f>SmtRes!I46</f>
        <v>1.1-1-1313</v>
      </c>
      <c r="C38" t="str">
        <f>SmtRes!K46</f>
        <v>МАТЕРИАЛ РУЛОННЫЙ КРОВЕЛЬНЫЙ, ФИЛИЗОЛ, МАРКА 'Н'</v>
      </c>
      <c r="D38" t="str">
        <f>SmtRes!O46</f>
        <v>м2</v>
      </c>
      <c r="E38">
        <f>SmtRes!Y46</f>
        <v>132.3</v>
      </c>
      <c r="F38">
        <f>SmtRes!Y46*Source!I40</f>
        <v>160.2153</v>
      </c>
      <c r="G38">
        <f>ROUND(SmtRes!AA46,2)</f>
        <v>23.06</v>
      </c>
      <c r="H38">
        <f>ROUND(SmtRes!AA46*SmtRes!Y46*Source!I40,2)</f>
        <v>3694.56</v>
      </c>
      <c r="I38">
        <f>SmtRes!CC46</f>
        <v>0</v>
      </c>
      <c r="J38">
        <f>SmtRes!CD46</f>
        <v>0</v>
      </c>
      <c r="K38">
        <f>SmtRes!CE46</f>
        <v>0</v>
      </c>
      <c r="L38">
        <f>SmtRes!CF46</f>
        <v>0</v>
      </c>
      <c r="M38">
        <f>SmtRes!CG46</f>
        <v>0</v>
      </c>
      <c r="N38">
        <f>SmtRes!CH46</f>
        <v>0</v>
      </c>
      <c r="O38">
        <f>SmtRes!CI46</f>
        <v>0</v>
      </c>
      <c r="P38">
        <f>SmtRes!CJ46</f>
        <v>0</v>
      </c>
      <c r="Q38">
        <f>SmtRes!CK46</f>
        <v>0</v>
      </c>
      <c r="R38">
        <f>SmtRes!CL46</f>
        <v>0</v>
      </c>
      <c r="S38">
        <f>SmtRes!CM46</f>
        <v>0</v>
      </c>
      <c r="T38">
        <f>SmtRes!CN46</f>
        <v>0</v>
      </c>
      <c r="U38">
        <f>SmtRes!CO46</f>
        <v>0</v>
      </c>
      <c r="V38">
        <f>SmtRes!CP46</f>
        <v>0</v>
      </c>
      <c r="W38">
        <f>SmtRes!CQ46</f>
        <v>0</v>
      </c>
      <c r="X38">
        <f>SmtRes!CR46</f>
        <v>0</v>
      </c>
      <c r="Y38">
        <f>SmtRes!CB46</f>
        <v>0</v>
      </c>
      <c r="Z38" t="s">
        <v>249</v>
      </c>
      <c r="AA38">
        <f>SmtRes!CS46</f>
        <v>0</v>
      </c>
    </row>
    <row r="39" spans="1:27" ht="12.75">
      <c r="A39">
        <f>SmtRes!H25</f>
        <v>3</v>
      </c>
      <c r="B39" t="str">
        <f>SmtRes!I25</f>
        <v>1.1-1-1328</v>
      </c>
      <c r="C39" t="str">
        <f>SmtRes!K25</f>
        <v>ЦЕМЕНТ ОБЩЕСТРОИТЕЛЬНЫЙ, ПОРТЛАНДЦЕМЕНТ ОБЩЕГО НАЗНАЧЕНИЯ, МАРКА 300</v>
      </c>
      <c r="D39" t="str">
        <f>SmtRes!O25</f>
        <v>т</v>
      </c>
      <c r="E39">
        <f>SmtRes!Y25</f>
        <v>0.021</v>
      </c>
      <c r="F39">
        <f>SmtRes!Y25*Source!I33</f>
        <v>0.04389</v>
      </c>
      <c r="G39">
        <f>ROUND(SmtRes!AA25,2)</f>
        <v>315.2</v>
      </c>
      <c r="H39">
        <f>ROUND(SmtRes!AA25*SmtRes!Y25*Source!I33,2)</f>
        <v>13.83</v>
      </c>
      <c r="I39">
        <f>SmtRes!CC25</f>
        <v>0</v>
      </c>
      <c r="J39">
        <f>SmtRes!CD25</f>
        <v>0</v>
      </c>
      <c r="K39">
        <f>SmtRes!CE25</f>
        <v>0</v>
      </c>
      <c r="L39">
        <f>SmtRes!CF25</f>
        <v>0</v>
      </c>
      <c r="M39">
        <f>SmtRes!CG25</f>
        <v>0</v>
      </c>
      <c r="N39">
        <f>SmtRes!CH25</f>
        <v>0</v>
      </c>
      <c r="O39">
        <f>SmtRes!CI25</f>
        <v>0</v>
      </c>
      <c r="P39">
        <f>SmtRes!CJ25</f>
        <v>0</v>
      </c>
      <c r="Q39">
        <f>SmtRes!CK25</f>
        <v>0</v>
      </c>
      <c r="R39">
        <f>SmtRes!CL25</f>
        <v>0</v>
      </c>
      <c r="S39">
        <f>SmtRes!CM25</f>
        <v>0</v>
      </c>
      <c r="T39">
        <f>SmtRes!CN25</f>
        <v>0</v>
      </c>
      <c r="U39">
        <f>SmtRes!CO25</f>
        <v>0</v>
      </c>
      <c r="V39">
        <f>SmtRes!CP25</f>
        <v>0</v>
      </c>
      <c r="W39">
        <f>SmtRes!CQ25</f>
        <v>0</v>
      </c>
      <c r="X39">
        <f>SmtRes!CR25</f>
        <v>0</v>
      </c>
      <c r="Y39">
        <f>SmtRes!CB25</f>
        <v>0</v>
      </c>
      <c r="Z39" t="s">
        <v>246</v>
      </c>
      <c r="AA39">
        <f>SmtRes!CS25</f>
        <v>0</v>
      </c>
    </row>
    <row r="40" spans="1:27" ht="12.75">
      <c r="A40">
        <f>SmtRes!H38</f>
        <v>3</v>
      </c>
      <c r="B40" t="str">
        <f>SmtRes!I38</f>
        <v>1.1-1-1328</v>
      </c>
      <c r="C40" t="str">
        <f>SmtRes!K38</f>
        <v>ЦЕМЕНТ ОБЩЕСТРОИТЕЛЬНЫЙ, ПОРТЛАНДЦЕМЕНТ ОБЩЕГО НАЗНАЧЕНИЯ, МАРКА 300</v>
      </c>
      <c r="D40" t="str">
        <f>SmtRes!O38</f>
        <v>т</v>
      </c>
      <c r="E40">
        <f>SmtRes!Y38</f>
        <v>0.021</v>
      </c>
      <c r="F40">
        <f>SmtRes!Y38*Source!I37</f>
        <v>0.0029400000000000003</v>
      </c>
      <c r="G40">
        <f>ROUND(SmtRes!AA38,2)</f>
        <v>315.2</v>
      </c>
      <c r="H40">
        <f>ROUND(SmtRes!AA38*SmtRes!Y38*Source!I37,2)</f>
        <v>0.93</v>
      </c>
      <c r="I40">
        <f>SmtRes!CC38</f>
        <v>0</v>
      </c>
      <c r="J40">
        <f>SmtRes!CD38</f>
        <v>0</v>
      </c>
      <c r="K40">
        <f>SmtRes!CE38</f>
        <v>0</v>
      </c>
      <c r="L40">
        <f>SmtRes!CF38</f>
        <v>0</v>
      </c>
      <c r="M40">
        <f>SmtRes!CG38</f>
        <v>0</v>
      </c>
      <c r="N40">
        <f>SmtRes!CH38</f>
        <v>0</v>
      </c>
      <c r="O40">
        <f>SmtRes!CI38</f>
        <v>0</v>
      </c>
      <c r="P40">
        <f>SmtRes!CJ38</f>
        <v>0</v>
      </c>
      <c r="Q40">
        <f>SmtRes!CK38</f>
        <v>0</v>
      </c>
      <c r="R40">
        <f>SmtRes!CL38</f>
        <v>0</v>
      </c>
      <c r="S40">
        <f>SmtRes!CM38</f>
        <v>0</v>
      </c>
      <c r="T40">
        <f>SmtRes!CN38</f>
        <v>0</v>
      </c>
      <c r="U40">
        <f>SmtRes!CO38</f>
        <v>0</v>
      </c>
      <c r="V40">
        <f>SmtRes!CP38</f>
        <v>0</v>
      </c>
      <c r="W40">
        <f>SmtRes!CQ38</f>
        <v>0</v>
      </c>
      <c r="X40">
        <f>SmtRes!CR38</f>
        <v>0</v>
      </c>
      <c r="Y40">
        <f>SmtRes!CB38</f>
        <v>0</v>
      </c>
      <c r="Z40" t="s">
        <v>246</v>
      </c>
      <c r="AA40">
        <f>SmtRes!CS38</f>
        <v>0</v>
      </c>
    </row>
    <row r="41" spans="1:27" ht="12.75">
      <c r="A41">
        <f>SmtRes!H9</f>
        <v>3</v>
      </c>
      <c r="B41" t="str">
        <f>SmtRes!I9</f>
        <v>1.1-1-132</v>
      </c>
      <c r="C41" t="str">
        <f>SmtRes!K9</f>
        <v>ГВОЗДИ СТРОИТЕЛЬНЫЕ</v>
      </c>
      <c r="D41" t="str">
        <f>SmtRes!O9</f>
        <v>т</v>
      </c>
      <c r="E41">
        <f>SmtRes!Y9</f>
        <v>0.004</v>
      </c>
      <c r="F41">
        <f>SmtRes!Y9*Source!I26</f>
        <v>0.00044</v>
      </c>
      <c r="G41">
        <f>ROUND(SmtRes!AA9,2)</f>
        <v>6521.42</v>
      </c>
      <c r="H41">
        <f>ROUND(SmtRes!AA9*SmtRes!Y9*Source!I26,2)</f>
        <v>2.87</v>
      </c>
      <c r="I41">
        <f>SmtRes!CC9</f>
        <v>0</v>
      </c>
      <c r="J41">
        <f>SmtRes!CD9</f>
        <v>0</v>
      </c>
      <c r="K41">
        <f>SmtRes!CE9</f>
        <v>0</v>
      </c>
      <c r="L41">
        <f>SmtRes!CF9</f>
        <v>0</v>
      </c>
      <c r="M41">
        <f>SmtRes!CG9</f>
        <v>0</v>
      </c>
      <c r="N41">
        <f>SmtRes!CH9</f>
        <v>0</v>
      </c>
      <c r="O41">
        <f>SmtRes!CI9</f>
        <v>0</v>
      </c>
      <c r="P41">
        <f>SmtRes!CJ9</f>
        <v>0</v>
      </c>
      <c r="Q41">
        <f>SmtRes!CK9</f>
        <v>0</v>
      </c>
      <c r="R41">
        <f>SmtRes!CL9</f>
        <v>0</v>
      </c>
      <c r="S41">
        <f>SmtRes!CM9</f>
        <v>0</v>
      </c>
      <c r="T41">
        <f>SmtRes!CN9</f>
        <v>0</v>
      </c>
      <c r="U41">
        <f>SmtRes!CO9</f>
        <v>0</v>
      </c>
      <c r="V41">
        <f>SmtRes!CP9</f>
        <v>0</v>
      </c>
      <c r="W41">
        <f>SmtRes!CQ9</f>
        <v>0</v>
      </c>
      <c r="X41">
        <f>SmtRes!CR9</f>
        <v>0</v>
      </c>
      <c r="Y41">
        <f>SmtRes!CB9</f>
        <v>0</v>
      </c>
      <c r="Z41" t="s">
        <v>241</v>
      </c>
      <c r="AA41">
        <f>SmtRes!CS9</f>
        <v>0</v>
      </c>
    </row>
    <row r="42" spans="1:27" ht="12.75">
      <c r="A42">
        <f>SmtRes!H15</f>
        <v>3</v>
      </c>
      <c r="B42" t="str">
        <f>SmtRes!I15</f>
        <v>1.1-1-132</v>
      </c>
      <c r="C42" t="str">
        <f>SmtRes!K15</f>
        <v>ГВОЗДИ СТРОИТЕЛЬНЫЕ</v>
      </c>
      <c r="D42" t="str">
        <f>SmtRes!O15</f>
        <v>т</v>
      </c>
      <c r="E42">
        <f>SmtRes!Y15</f>
        <v>0.004</v>
      </c>
      <c r="F42">
        <f>SmtRes!Y15*Source!I29</f>
        <v>0.00244</v>
      </c>
      <c r="G42">
        <f>ROUND(SmtRes!AA15,2)</f>
        <v>6521.42</v>
      </c>
      <c r="H42">
        <f>ROUND(SmtRes!AA15*SmtRes!Y15*Source!I29,2)</f>
        <v>15.91</v>
      </c>
      <c r="I42">
        <f>SmtRes!CC15</f>
        <v>0</v>
      </c>
      <c r="J42">
        <f>SmtRes!CD15</f>
        <v>0</v>
      </c>
      <c r="K42">
        <f>SmtRes!CE15</f>
        <v>0</v>
      </c>
      <c r="L42">
        <f>SmtRes!CF15</f>
        <v>0</v>
      </c>
      <c r="M42">
        <f>SmtRes!CG15</f>
        <v>0</v>
      </c>
      <c r="N42">
        <f>SmtRes!CH15</f>
        <v>0</v>
      </c>
      <c r="O42">
        <f>SmtRes!CI15</f>
        <v>0</v>
      </c>
      <c r="P42">
        <f>SmtRes!CJ15</f>
        <v>0</v>
      </c>
      <c r="Q42">
        <f>SmtRes!CK15</f>
        <v>0</v>
      </c>
      <c r="R42">
        <f>SmtRes!CL15</f>
        <v>0</v>
      </c>
      <c r="S42">
        <f>SmtRes!CM15</f>
        <v>0</v>
      </c>
      <c r="T42">
        <f>SmtRes!CN15</f>
        <v>0</v>
      </c>
      <c r="U42">
        <f>SmtRes!CO15</f>
        <v>0</v>
      </c>
      <c r="V42">
        <f>SmtRes!CP15</f>
        <v>0</v>
      </c>
      <c r="W42">
        <f>SmtRes!CQ15</f>
        <v>0</v>
      </c>
      <c r="X42">
        <f>SmtRes!CR15</f>
        <v>0</v>
      </c>
      <c r="Y42">
        <f>SmtRes!CB15</f>
        <v>0</v>
      </c>
      <c r="Z42" t="s">
        <v>241</v>
      </c>
      <c r="AA42">
        <f>SmtRes!CS15</f>
        <v>0</v>
      </c>
    </row>
    <row r="43" spans="1:27" ht="12.75">
      <c r="A43">
        <f>SmtRes!H51</f>
        <v>3</v>
      </c>
      <c r="B43" t="str">
        <f>SmtRes!I51</f>
        <v>1.1-1-1681</v>
      </c>
      <c r="C43" t="str">
        <f>SmtRes!K51</f>
        <v>НАБИВКИ САЛЬНИКОВЫЕ АСБЕСТОВЫЕ, МАРКА АП-31, ТОЛЩИНА 6-14 ММ</v>
      </c>
      <c r="D43" t="str">
        <f>SmtRes!O51</f>
        <v>т</v>
      </c>
      <c r="E43">
        <f>SmtRes!Y51</f>
        <v>0.0004</v>
      </c>
      <c r="F43">
        <f>SmtRes!Y51*Source!I43</f>
        <v>0.0004</v>
      </c>
      <c r="G43">
        <f>ROUND(SmtRes!AA51,2)</f>
        <v>22827.44</v>
      </c>
      <c r="H43">
        <f>ROUND(SmtRes!AA51*SmtRes!Y51*Source!I43,2)</f>
        <v>9.13</v>
      </c>
      <c r="I43">
        <f>SmtRes!CC51</f>
        <v>0</v>
      </c>
      <c r="J43">
        <f>SmtRes!CD51</f>
        <v>0</v>
      </c>
      <c r="K43">
        <f>SmtRes!CE51</f>
        <v>0</v>
      </c>
      <c r="L43">
        <f>SmtRes!CF51</f>
        <v>0</v>
      </c>
      <c r="M43">
        <f>SmtRes!CG51</f>
        <v>0</v>
      </c>
      <c r="N43">
        <f>SmtRes!CH51</f>
        <v>0</v>
      </c>
      <c r="O43">
        <f>SmtRes!CI51</f>
        <v>0</v>
      </c>
      <c r="P43">
        <f>SmtRes!CJ51</f>
        <v>0</v>
      </c>
      <c r="Q43">
        <f>SmtRes!CK51</f>
        <v>0</v>
      </c>
      <c r="R43">
        <f>SmtRes!CL51</f>
        <v>0</v>
      </c>
      <c r="S43">
        <f>SmtRes!CM51</f>
        <v>0</v>
      </c>
      <c r="T43">
        <f>SmtRes!CN51</f>
        <v>0</v>
      </c>
      <c r="U43">
        <f>SmtRes!CO51</f>
        <v>0</v>
      </c>
      <c r="V43">
        <f>SmtRes!CP51</f>
        <v>0</v>
      </c>
      <c r="W43">
        <f>SmtRes!CQ51</f>
        <v>0</v>
      </c>
      <c r="X43">
        <f>SmtRes!CR51</f>
        <v>0</v>
      </c>
      <c r="Y43">
        <f>SmtRes!CB51</f>
        <v>0</v>
      </c>
      <c r="Z43" t="s">
        <v>254</v>
      </c>
      <c r="AA43">
        <f>SmtRes!CS51</f>
        <v>0</v>
      </c>
    </row>
    <row r="44" spans="1:27" ht="12.75">
      <c r="A44">
        <f>SmtRes!H56</f>
        <v>3</v>
      </c>
      <c r="B44" t="str">
        <f>SmtRes!I56</f>
        <v>1.1-1-1681</v>
      </c>
      <c r="C44" t="str">
        <f>SmtRes!K56</f>
        <v>НАБИВКИ САЛЬНИКОВЫЕ АСБЕСТОВЫЕ, МАРКА АП-31, ТОЛЩИНА 6-14 ММ</v>
      </c>
      <c r="D44" t="str">
        <f>SmtRes!O56</f>
        <v>т</v>
      </c>
      <c r="E44">
        <f>SmtRes!Y56</f>
        <v>0.0006</v>
      </c>
      <c r="F44">
        <f>SmtRes!Y56*Source!I44</f>
        <v>0.0006</v>
      </c>
      <c r="G44">
        <f>ROUND(SmtRes!AA56,2)</f>
        <v>22827.44</v>
      </c>
      <c r="H44">
        <f>ROUND(SmtRes!AA56*SmtRes!Y56*Source!I44,2)</f>
        <v>13.7</v>
      </c>
      <c r="I44">
        <f>SmtRes!CC56</f>
        <v>0</v>
      </c>
      <c r="J44">
        <f>SmtRes!CD56</f>
        <v>0</v>
      </c>
      <c r="K44">
        <f>SmtRes!CE56</f>
        <v>0</v>
      </c>
      <c r="L44">
        <f>SmtRes!CF56</f>
        <v>0</v>
      </c>
      <c r="M44">
        <f>SmtRes!CG56</f>
        <v>0</v>
      </c>
      <c r="N44">
        <f>SmtRes!CH56</f>
        <v>0</v>
      </c>
      <c r="O44">
        <f>SmtRes!CI56</f>
        <v>0</v>
      </c>
      <c r="P44">
        <f>SmtRes!CJ56</f>
        <v>0</v>
      </c>
      <c r="Q44">
        <f>SmtRes!CK56</f>
        <v>0</v>
      </c>
      <c r="R44">
        <f>SmtRes!CL56</f>
        <v>0</v>
      </c>
      <c r="S44">
        <f>SmtRes!CM56</f>
        <v>0</v>
      </c>
      <c r="T44">
        <f>SmtRes!CN56</f>
        <v>0</v>
      </c>
      <c r="U44">
        <f>SmtRes!CO56</f>
        <v>0</v>
      </c>
      <c r="V44">
        <f>SmtRes!CP56</f>
        <v>0</v>
      </c>
      <c r="W44">
        <f>SmtRes!CQ56</f>
        <v>0</v>
      </c>
      <c r="X44">
        <f>SmtRes!CR56</f>
        <v>0</v>
      </c>
      <c r="Y44">
        <f>SmtRes!CB56</f>
        <v>0</v>
      </c>
      <c r="Z44" t="s">
        <v>254</v>
      </c>
      <c r="AA44">
        <f>SmtRes!CS56</f>
        <v>0</v>
      </c>
    </row>
    <row r="45" spans="1:27" ht="12.75">
      <c r="A45">
        <f>SmtRes!H31</f>
        <v>3</v>
      </c>
      <c r="B45" t="str">
        <f>SmtRes!I31</f>
        <v>1.1-1-2613</v>
      </c>
      <c r="C45" t="str">
        <f>SmtRes!K31</f>
        <v>ПРОПАН-БУТАН, СЖИЖЕННЫЙ ГАЗ</v>
      </c>
      <c r="D45" t="str">
        <f>SmtRes!O31</f>
        <v>кг</v>
      </c>
      <c r="E45">
        <f>SmtRes!Y31</f>
        <v>6.9</v>
      </c>
      <c r="F45">
        <f>SmtRes!Y31*Source!I34</f>
        <v>48.0378</v>
      </c>
      <c r="G45">
        <f>ROUND(SmtRes!AA31,2)</f>
        <v>6.27</v>
      </c>
      <c r="H45">
        <f>ROUND(SmtRes!AA31*SmtRes!Y31*Source!I34,2)</f>
        <v>301.2</v>
      </c>
      <c r="I45">
        <f>SmtRes!CC31</f>
        <v>0</v>
      </c>
      <c r="J45">
        <f>SmtRes!CD31</f>
        <v>0</v>
      </c>
      <c r="K45">
        <f>SmtRes!CE31</f>
        <v>0</v>
      </c>
      <c r="L45">
        <f>SmtRes!CF31</f>
        <v>0</v>
      </c>
      <c r="M45">
        <f>SmtRes!CG31</f>
        <v>0</v>
      </c>
      <c r="N45">
        <f>SmtRes!CH31</f>
        <v>0</v>
      </c>
      <c r="O45">
        <f>SmtRes!CI31</f>
        <v>0</v>
      </c>
      <c r="P45">
        <f>SmtRes!CJ31</f>
        <v>0</v>
      </c>
      <c r="Q45">
        <f>SmtRes!CK31</f>
        <v>0</v>
      </c>
      <c r="R45">
        <f>SmtRes!CL31</f>
        <v>0</v>
      </c>
      <c r="S45">
        <f>SmtRes!CM31</f>
        <v>0</v>
      </c>
      <c r="T45">
        <f>SmtRes!CN31</f>
        <v>0</v>
      </c>
      <c r="U45">
        <f>SmtRes!CO31</f>
        <v>0</v>
      </c>
      <c r="V45">
        <f>SmtRes!CP31</f>
        <v>0</v>
      </c>
      <c r="W45">
        <f>SmtRes!CQ31</f>
        <v>0</v>
      </c>
      <c r="X45">
        <f>SmtRes!CR31</f>
        <v>0</v>
      </c>
      <c r="Y45">
        <f>SmtRes!CB31</f>
        <v>0</v>
      </c>
      <c r="Z45" t="s">
        <v>250</v>
      </c>
      <c r="AA45">
        <f>SmtRes!CS31</f>
        <v>0</v>
      </c>
    </row>
    <row r="46" spans="1:27" ht="12.75">
      <c r="A46">
        <f>SmtRes!H47</f>
        <v>3</v>
      </c>
      <c r="B46" t="str">
        <f>SmtRes!I47</f>
        <v>1.1-1-2613</v>
      </c>
      <c r="C46" t="str">
        <f>SmtRes!K47</f>
        <v>ПРОПАН-БУТАН, СЖИЖЕННЫЙ ГАЗ</v>
      </c>
      <c r="D46" t="str">
        <f>SmtRes!O47</f>
        <v>кг</v>
      </c>
      <c r="E46">
        <f>SmtRes!Y47</f>
        <v>6.9</v>
      </c>
      <c r="F46">
        <f>SmtRes!Y47*Source!I40</f>
        <v>8.3559</v>
      </c>
      <c r="G46">
        <f>ROUND(SmtRes!AA47,2)</f>
        <v>6.27</v>
      </c>
      <c r="H46">
        <f>ROUND(SmtRes!AA47*SmtRes!Y47*Source!I40,2)</f>
        <v>52.39</v>
      </c>
      <c r="I46">
        <f>SmtRes!CC47</f>
        <v>0</v>
      </c>
      <c r="J46">
        <f>SmtRes!CD47</f>
        <v>0</v>
      </c>
      <c r="K46">
        <f>SmtRes!CE47</f>
        <v>0</v>
      </c>
      <c r="L46">
        <f>SmtRes!CF47</f>
        <v>0</v>
      </c>
      <c r="M46">
        <f>SmtRes!CG47</f>
        <v>0</v>
      </c>
      <c r="N46">
        <f>SmtRes!CH47</f>
        <v>0</v>
      </c>
      <c r="O46">
        <f>SmtRes!CI47</f>
        <v>0</v>
      </c>
      <c r="P46">
        <f>SmtRes!CJ47</f>
        <v>0</v>
      </c>
      <c r="Q46">
        <f>SmtRes!CK47</f>
        <v>0</v>
      </c>
      <c r="R46">
        <f>SmtRes!CL47</f>
        <v>0</v>
      </c>
      <c r="S46">
        <f>SmtRes!CM47</f>
        <v>0</v>
      </c>
      <c r="T46">
        <f>SmtRes!CN47</f>
        <v>0</v>
      </c>
      <c r="U46">
        <f>SmtRes!CO47</f>
        <v>0</v>
      </c>
      <c r="V46">
        <f>SmtRes!CP47</f>
        <v>0</v>
      </c>
      <c r="W46">
        <f>SmtRes!CQ47</f>
        <v>0</v>
      </c>
      <c r="X46">
        <f>SmtRes!CR47</f>
        <v>0</v>
      </c>
      <c r="Y46">
        <f>SmtRes!CB47</f>
        <v>0</v>
      </c>
      <c r="Z46" t="s">
        <v>250</v>
      </c>
      <c r="AA46">
        <f>SmtRes!CS47</f>
        <v>0</v>
      </c>
    </row>
    <row r="47" spans="1:27" ht="12.75">
      <c r="A47">
        <f>SmtRes!H52</f>
        <v>3</v>
      </c>
      <c r="B47" t="str">
        <f>SmtRes!I52</f>
        <v>1.1-1-296</v>
      </c>
      <c r="C47" t="str">
        <f>SmtRes!K52</f>
        <v>КАБОЛКА</v>
      </c>
      <c r="D47" t="str">
        <f>SmtRes!O52</f>
        <v>т</v>
      </c>
      <c r="E47">
        <f>SmtRes!Y52</f>
        <v>0.00012</v>
      </c>
      <c r="F47">
        <f>SmtRes!Y52*Source!I43</f>
        <v>0.00012</v>
      </c>
      <c r="G47">
        <f>ROUND(SmtRes!AA52,2)</f>
        <v>25769.56</v>
      </c>
      <c r="H47">
        <f>ROUND(SmtRes!AA52*SmtRes!Y52*Source!I43,2)</f>
        <v>3.09</v>
      </c>
      <c r="I47">
        <f>SmtRes!CC52</f>
        <v>0</v>
      </c>
      <c r="J47">
        <f>SmtRes!CD52</f>
        <v>0</v>
      </c>
      <c r="K47">
        <f>SmtRes!CE52</f>
        <v>0</v>
      </c>
      <c r="L47">
        <f>SmtRes!CF52</f>
        <v>0</v>
      </c>
      <c r="M47">
        <f>SmtRes!CG52</f>
        <v>0</v>
      </c>
      <c r="N47">
        <f>SmtRes!CH52</f>
        <v>0</v>
      </c>
      <c r="O47">
        <f>SmtRes!CI52</f>
        <v>0</v>
      </c>
      <c r="P47">
        <f>SmtRes!CJ52</f>
        <v>0</v>
      </c>
      <c r="Q47">
        <f>SmtRes!CK52</f>
        <v>0</v>
      </c>
      <c r="R47">
        <f>SmtRes!CL52</f>
        <v>0</v>
      </c>
      <c r="S47">
        <f>SmtRes!CM52</f>
        <v>0</v>
      </c>
      <c r="T47">
        <f>SmtRes!CN52</f>
        <v>0</v>
      </c>
      <c r="U47">
        <f>SmtRes!CO52</f>
        <v>0</v>
      </c>
      <c r="V47">
        <f>SmtRes!CP52</f>
        <v>0</v>
      </c>
      <c r="W47">
        <f>SmtRes!CQ52</f>
        <v>0</v>
      </c>
      <c r="X47">
        <f>SmtRes!CR52</f>
        <v>0</v>
      </c>
      <c r="Y47">
        <f>SmtRes!CB52</f>
        <v>0</v>
      </c>
      <c r="Z47" t="s">
        <v>255</v>
      </c>
      <c r="AA47">
        <f>SmtRes!CS52</f>
        <v>0</v>
      </c>
    </row>
    <row r="48" spans="1:27" ht="12.75">
      <c r="A48">
        <f>SmtRes!H57</f>
        <v>3</v>
      </c>
      <c r="B48" t="str">
        <f>SmtRes!I57</f>
        <v>1.1-1-296</v>
      </c>
      <c r="C48" t="str">
        <f>SmtRes!K57</f>
        <v>КАБОЛКА</v>
      </c>
      <c r="D48" t="str">
        <f>SmtRes!O57</f>
        <v>т</v>
      </c>
      <c r="E48">
        <f>SmtRes!Y57</f>
        <v>0.00012</v>
      </c>
      <c r="F48">
        <f>SmtRes!Y57*Source!I44</f>
        <v>0.00012</v>
      </c>
      <c r="G48">
        <f>ROUND(SmtRes!AA57,2)</f>
        <v>25769.56</v>
      </c>
      <c r="H48">
        <f>ROUND(SmtRes!AA57*SmtRes!Y57*Source!I44,2)</f>
        <v>3.09</v>
      </c>
      <c r="I48">
        <f>SmtRes!CC57</f>
        <v>0</v>
      </c>
      <c r="J48">
        <f>SmtRes!CD57</f>
        <v>0</v>
      </c>
      <c r="K48">
        <f>SmtRes!CE57</f>
        <v>0</v>
      </c>
      <c r="L48">
        <f>SmtRes!CF57</f>
        <v>0</v>
      </c>
      <c r="M48">
        <f>SmtRes!CG57</f>
        <v>0</v>
      </c>
      <c r="N48">
        <f>SmtRes!CH57</f>
        <v>0</v>
      </c>
      <c r="O48">
        <f>SmtRes!CI57</f>
        <v>0</v>
      </c>
      <c r="P48">
        <f>SmtRes!CJ57</f>
        <v>0</v>
      </c>
      <c r="Q48">
        <f>SmtRes!CK57</f>
        <v>0</v>
      </c>
      <c r="R48">
        <f>SmtRes!CL57</f>
        <v>0</v>
      </c>
      <c r="S48">
        <f>SmtRes!CM57</f>
        <v>0</v>
      </c>
      <c r="T48">
        <f>SmtRes!CN57</f>
        <v>0</v>
      </c>
      <c r="U48">
        <f>SmtRes!CO57</f>
        <v>0</v>
      </c>
      <c r="V48">
        <f>SmtRes!CP57</f>
        <v>0</v>
      </c>
      <c r="W48">
        <f>SmtRes!CQ57</f>
        <v>0</v>
      </c>
      <c r="X48">
        <f>SmtRes!CR57</f>
        <v>0</v>
      </c>
      <c r="Y48">
        <f>SmtRes!CB57</f>
        <v>0</v>
      </c>
      <c r="Z48" t="s">
        <v>255</v>
      </c>
      <c r="AA48">
        <f>SmtRes!CS57</f>
        <v>0</v>
      </c>
    </row>
    <row r="49" spans="1:27" ht="12.75">
      <c r="A49">
        <f>SmtRes!H32</f>
        <v>3</v>
      </c>
      <c r="B49" t="str">
        <f>SmtRes!I32</f>
        <v>1.1-1-599</v>
      </c>
      <c r="C49" t="str">
        <f>SmtRes!K32</f>
        <v>МАСТИКА ГЕРМЕТИЗИРУЮЩАЯ НЕТВЕРДЕЮЩАЯ, СТРОИТЕЛЬНАЯ, БИТУМНО-АТАКТИЧЕСКАЯ, АНТИКОРРОЗИЙНАЯ</v>
      </c>
      <c r="D49" t="str">
        <f>SmtRes!O32</f>
        <v>т</v>
      </c>
      <c r="E49">
        <f>SmtRes!Y32</f>
        <v>0.035</v>
      </c>
      <c r="F49">
        <f>SmtRes!Y32*Source!I34</f>
        <v>0.24367000000000003</v>
      </c>
      <c r="G49">
        <f>ROUND(SmtRes!AA32,2)</f>
        <v>18910.8</v>
      </c>
      <c r="H49">
        <f>ROUND(SmtRes!AA32*SmtRes!Y32*Source!I34,2)</f>
        <v>4607.99</v>
      </c>
      <c r="I49">
        <f>SmtRes!CC32</f>
        <v>0</v>
      </c>
      <c r="J49">
        <f>SmtRes!CD32</f>
        <v>0</v>
      </c>
      <c r="K49">
        <f>SmtRes!CE32</f>
        <v>0</v>
      </c>
      <c r="L49">
        <f>SmtRes!CF32</f>
        <v>0</v>
      </c>
      <c r="M49">
        <f>SmtRes!CG32</f>
        <v>0</v>
      </c>
      <c r="N49">
        <f>SmtRes!CH32</f>
        <v>0</v>
      </c>
      <c r="O49">
        <f>SmtRes!CI32</f>
        <v>0</v>
      </c>
      <c r="P49">
        <f>SmtRes!CJ32</f>
        <v>0</v>
      </c>
      <c r="Q49">
        <f>SmtRes!CK32</f>
        <v>0</v>
      </c>
      <c r="R49">
        <f>SmtRes!CL32</f>
        <v>0</v>
      </c>
      <c r="S49">
        <f>SmtRes!CM32</f>
        <v>0</v>
      </c>
      <c r="T49">
        <f>SmtRes!CN32</f>
        <v>0</v>
      </c>
      <c r="U49">
        <f>SmtRes!CO32</f>
        <v>0</v>
      </c>
      <c r="V49">
        <f>SmtRes!CP32</f>
        <v>0</v>
      </c>
      <c r="W49">
        <f>SmtRes!CQ32</f>
        <v>0</v>
      </c>
      <c r="X49">
        <f>SmtRes!CR32</f>
        <v>0</v>
      </c>
      <c r="Y49">
        <f>SmtRes!CB32</f>
        <v>0</v>
      </c>
      <c r="Z49" t="s">
        <v>251</v>
      </c>
      <c r="AA49">
        <f>SmtRes!CS32</f>
        <v>0</v>
      </c>
    </row>
    <row r="50" spans="1:27" ht="12.75">
      <c r="A50">
        <f>SmtRes!H48</f>
        <v>3</v>
      </c>
      <c r="B50" t="str">
        <f>SmtRes!I48</f>
        <v>1.1-1-599</v>
      </c>
      <c r="C50" t="str">
        <f>SmtRes!K48</f>
        <v>МАСТИКА ГЕРМЕТИЗИРУЮЩАЯ НЕТВЕРДЕЮЩАЯ, СТРОИТЕЛЬНАЯ, БИТУМНО-АТАКТИЧЕСКАЯ, АНТИКОРРОЗИЙНАЯ</v>
      </c>
      <c r="D50" t="str">
        <f>SmtRes!O48</f>
        <v>т</v>
      </c>
      <c r="E50">
        <f>SmtRes!Y48</f>
        <v>0.035</v>
      </c>
      <c r="F50">
        <f>SmtRes!Y48*Source!I40</f>
        <v>0.042385000000000006</v>
      </c>
      <c r="G50">
        <f>ROUND(SmtRes!AA48,2)</f>
        <v>18910.8</v>
      </c>
      <c r="H50">
        <f>ROUND(SmtRes!AA48*SmtRes!Y48*Source!I40,2)</f>
        <v>801.53</v>
      </c>
      <c r="I50">
        <f>SmtRes!CC48</f>
        <v>0</v>
      </c>
      <c r="J50">
        <f>SmtRes!CD48</f>
        <v>0</v>
      </c>
      <c r="K50">
        <f>SmtRes!CE48</f>
        <v>0</v>
      </c>
      <c r="L50">
        <f>SmtRes!CF48</f>
        <v>0</v>
      </c>
      <c r="M50">
        <f>SmtRes!CG48</f>
        <v>0</v>
      </c>
      <c r="N50">
        <f>SmtRes!CH48</f>
        <v>0</v>
      </c>
      <c r="O50">
        <f>SmtRes!CI48</f>
        <v>0</v>
      </c>
      <c r="P50">
        <f>SmtRes!CJ48</f>
        <v>0</v>
      </c>
      <c r="Q50">
        <f>SmtRes!CK48</f>
        <v>0</v>
      </c>
      <c r="R50">
        <f>SmtRes!CL48</f>
        <v>0</v>
      </c>
      <c r="S50">
        <f>SmtRes!CM48</f>
        <v>0</v>
      </c>
      <c r="T50">
        <f>SmtRes!CN48</f>
        <v>0</v>
      </c>
      <c r="U50">
        <f>SmtRes!CO48</f>
        <v>0</v>
      </c>
      <c r="V50">
        <f>SmtRes!CP48</f>
        <v>0</v>
      </c>
      <c r="W50">
        <f>SmtRes!CQ48</f>
        <v>0</v>
      </c>
      <c r="X50">
        <f>SmtRes!CR48</f>
        <v>0</v>
      </c>
      <c r="Y50">
        <f>SmtRes!CB48</f>
        <v>0</v>
      </c>
      <c r="Z50" t="s">
        <v>251</v>
      </c>
      <c r="AA50">
        <f>SmtRes!CS48</f>
        <v>0</v>
      </c>
    </row>
    <row r="51" spans="1:27" ht="12.75">
      <c r="A51">
        <f>SmtRes!H16</f>
        <v>3</v>
      </c>
      <c r="B51" t="str">
        <f>SmtRes!I16</f>
        <v>1.1-1-957</v>
      </c>
      <c r="C51" t="str">
        <f>SmtRes!K16</f>
        <v>ПРОВОЛОКА СТАЛЬНАЯ КРОВЕЛЬНАЯ ОЦИНКОВАННАЯ</v>
      </c>
      <c r="D51" t="str">
        <f>SmtRes!O16</f>
        <v>т</v>
      </c>
      <c r="E51">
        <f>SmtRes!Y16</f>
        <v>0.006</v>
      </c>
      <c r="F51">
        <f>SmtRes!Y16*Source!I29</f>
        <v>0.00366</v>
      </c>
      <c r="G51">
        <f>ROUND(SmtRes!AA16,2)</f>
        <v>8559.28</v>
      </c>
      <c r="H51">
        <f>ROUND(SmtRes!AA16*SmtRes!Y16*Source!I29,2)</f>
        <v>31.33</v>
      </c>
      <c r="I51">
        <f>SmtRes!CC16</f>
        <v>0</v>
      </c>
      <c r="J51">
        <f>SmtRes!CD16</f>
        <v>0</v>
      </c>
      <c r="K51">
        <f>SmtRes!CE16</f>
        <v>0</v>
      </c>
      <c r="L51">
        <f>SmtRes!CF16</f>
        <v>0</v>
      </c>
      <c r="M51">
        <f>SmtRes!CG16</f>
        <v>0</v>
      </c>
      <c r="N51">
        <f>SmtRes!CH16</f>
        <v>0</v>
      </c>
      <c r="O51">
        <f>SmtRes!CI16</f>
        <v>0</v>
      </c>
      <c r="P51">
        <f>SmtRes!CJ16</f>
        <v>0</v>
      </c>
      <c r="Q51">
        <f>SmtRes!CK16</f>
        <v>0</v>
      </c>
      <c r="R51">
        <f>SmtRes!CL16</f>
        <v>0</v>
      </c>
      <c r="S51">
        <f>SmtRes!CM16</f>
        <v>0</v>
      </c>
      <c r="T51">
        <f>SmtRes!CN16</f>
        <v>0</v>
      </c>
      <c r="U51">
        <f>SmtRes!CO16</f>
        <v>0</v>
      </c>
      <c r="V51">
        <f>SmtRes!CP16</f>
        <v>0</v>
      </c>
      <c r="W51">
        <f>SmtRes!CQ16</f>
        <v>0</v>
      </c>
      <c r="X51">
        <f>SmtRes!CR16</f>
        <v>0</v>
      </c>
      <c r="Y51">
        <f>SmtRes!CB16</f>
        <v>0</v>
      </c>
      <c r="Z51" t="s">
        <v>242</v>
      </c>
      <c r="AA51">
        <f>SmtRes!CS16</f>
        <v>0</v>
      </c>
    </row>
    <row r="52" spans="1:27" ht="12.75">
      <c r="A52">
        <f>SmtRes!H2</f>
        <v>3</v>
      </c>
      <c r="B52" t="str">
        <f>SmtRes!I2</f>
        <v>1.3-2-5</v>
      </c>
      <c r="C52" t="str">
        <f>SmtRes!K2</f>
        <v>РАСТВОРЫ ЦЕМЕНТНЫЕ, МАРКА 100</v>
      </c>
      <c r="D52" t="str">
        <f>SmtRes!O2</f>
        <v>м3</v>
      </c>
      <c r="E52">
        <f>SmtRes!Y2</f>
        <v>0</v>
      </c>
      <c r="F52">
        <f>SmtRes!Y2*Source!I24</f>
        <v>0</v>
      </c>
      <c r="G52">
        <f>ROUND(SmtRes!AA2,2)</f>
        <v>451.14</v>
      </c>
      <c r="H52">
        <f>ROUND(SmtRes!AA2*SmtRes!Y2*Source!I24,2)</f>
        <v>0</v>
      </c>
      <c r="I52">
        <f>SmtRes!CC2</f>
        <v>0</v>
      </c>
      <c r="J52">
        <f>SmtRes!CD2</f>
        <v>0</v>
      </c>
      <c r="K52">
        <f>SmtRes!CE2</f>
        <v>0</v>
      </c>
      <c r="L52">
        <f>SmtRes!CF2</f>
        <v>0</v>
      </c>
      <c r="M52">
        <f>SmtRes!CG2</f>
        <v>0</v>
      </c>
      <c r="N52">
        <f>SmtRes!CH2</f>
        <v>0</v>
      </c>
      <c r="O52">
        <f>SmtRes!CI2</f>
        <v>0</v>
      </c>
      <c r="P52">
        <f>SmtRes!CJ2</f>
        <v>0</v>
      </c>
      <c r="Q52">
        <f>SmtRes!CK2</f>
        <v>0</v>
      </c>
      <c r="R52">
        <f>SmtRes!CL2</f>
        <v>0</v>
      </c>
      <c r="S52">
        <f>SmtRes!CM2</f>
        <v>0</v>
      </c>
      <c r="T52">
        <f>SmtRes!CN2</f>
        <v>0</v>
      </c>
      <c r="U52">
        <f>SmtRes!CO2</f>
        <v>0</v>
      </c>
      <c r="V52">
        <f>SmtRes!CP2</f>
        <v>0</v>
      </c>
      <c r="W52">
        <f>SmtRes!CQ2</f>
        <v>0</v>
      </c>
      <c r="X52">
        <f>SmtRes!CR2</f>
        <v>0</v>
      </c>
      <c r="Y52">
        <f>SmtRes!CB2</f>
        <v>0</v>
      </c>
      <c r="Z52" t="s">
        <v>237</v>
      </c>
      <c r="AA52">
        <f>SmtRes!CS2</f>
        <v>0</v>
      </c>
    </row>
    <row r="53" spans="1:27" ht="12.75">
      <c r="A53">
        <f>SmtRes!H26</f>
        <v>3</v>
      </c>
      <c r="B53" t="str">
        <f>SmtRes!I26</f>
        <v>1.3-2-5</v>
      </c>
      <c r="C53" t="str">
        <f>SmtRes!K26</f>
        <v>РАСТВОРЫ ЦЕМЕНТНЫЕ, МАРКА 100</v>
      </c>
      <c r="D53" t="str">
        <f>SmtRes!O26</f>
        <v>м3</v>
      </c>
      <c r="E53">
        <f>SmtRes!Y26</f>
        <v>2.14</v>
      </c>
      <c r="F53">
        <f>SmtRes!Y26*Source!I33</f>
        <v>4.4726</v>
      </c>
      <c r="G53">
        <f>ROUND(SmtRes!AA26,2)</f>
        <v>451.14</v>
      </c>
      <c r="H53">
        <f>ROUND(SmtRes!AA26*SmtRes!Y26*Source!I33,2)</f>
        <v>2017.77</v>
      </c>
      <c r="I53">
        <f>SmtRes!CC26</f>
        <v>0</v>
      </c>
      <c r="J53">
        <f>SmtRes!CD26</f>
        <v>0</v>
      </c>
      <c r="K53">
        <f>SmtRes!CE26</f>
        <v>0</v>
      </c>
      <c r="L53">
        <f>SmtRes!CF26</f>
        <v>0</v>
      </c>
      <c r="M53">
        <f>SmtRes!CG26</f>
        <v>0</v>
      </c>
      <c r="N53">
        <f>SmtRes!CH26</f>
        <v>0</v>
      </c>
      <c r="O53">
        <f>SmtRes!CI26</f>
        <v>0</v>
      </c>
      <c r="P53">
        <f>SmtRes!CJ26</f>
        <v>0</v>
      </c>
      <c r="Q53">
        <f>SmtRes!CK26</f>
        <v>0</v>
      </c>
      <c r="R53">
        <f>SmtRes!CL26</f>
        <v>0</v>
      </c>
      <c r="S53">
        <f>SmtRes!CM26</f>
        <v>0</v>
      </c>
      <c r="T53">
        <f>SmtRes!CN26</f>
        <v>0</v>
      </c>
      <c r="U53">
        <f>SmtRes!CO26</f>
        <v>0</v>
      </c>
      <c r="V53">
        <f>SmtRes!CP26</f>
        <v>0</v>
      </c>
      <c r="W53">
        <f>SmtRes!CQ26</f>
        <v>0</v>
      </c>
      <c r="X53">
        <f>SmtRes!CR26</f>
        <v>0</v>
      </c>
      <c r="Y53">
        <f>SmtRes!CB26</f>
        <v>0</v>
      </c>
      <c r="Z53" t="s">
        <v>237</v>
      </c>
      <c r="AA53">
        <f>SmtRes!CS26</f>
        <v>0</v>
      </c>
    </row>
    <row r="54" spans="1:27" ht="12.75">
      <c r="A54">
        <f>SmtRes!H39</f>
        <v>3</v>
      </c>
      <c r="B54" t="str">
        <f>SmtRes!I39</f>
        <v>1.3-2-5</v>
      </c>
      <c r="C54" t="str">
        <f>SmtRes!K39</f>
        <v>РАСТВОРЫ ЦЕМЕНТНЫЕ, МАРКА 100</v>
      </c>
      <c r="D54" t="str">
        <f>SmtRes!O39</f>
        <v>м3</v>
      </c>
      <c r="E54">
        <f>SmtRes!Y39</f>
        <v>2.14</v>
      </c>
      <c r="F54">
        <f>SmtRes!Y39*Source!I37</f>
        <v>0.29960000000000003</v>
      </c>
      <c r="G54">
        <f>ROUND(SmtRes!AA39,2)</f>
        <v>451.14</v>
      </c>
      <c r="H54">
        <f>ROUND(SmtRes!AA39*SmtRes!Y39*Source!I37,2)</f>
        <v>135.16</v>
      </c>
      <c r="I54">
        <f>SmtRes!CC39</f>
        <v>0</v>
      </c>
      <c r="J54">
        <f>SmtRes!CD39</f>
        <v>0</v>
      </c>
      <c r="K54">
        <f>SmtRes!CE39</f>
        <v>0</v>
      </c>
      <c r="L54">
        <f>SmtRes!CF39</f>
        <v>0</v>
      </c>
      <c r="M54">
        <f>SmtRes!CG39</f>
        <v>0</v>
      </c>
      <c r="N54">
        <f>SmtRes!CH39</f>
        <v>0</v>
      </c>
      <c r="O54">
        <f>SmtRes!CI39</f>
        <v>0</v>
      </c>
      <c r="P54">
        <f>SmtRes!CJ39</f>
        <v>0</v>
      </c>
      <c r="Q54">
        <f>SmtRes!CK39</f>
        <v>0</v>
      </c>
      <c r="R54">
        <f>SmtRes!CL39</f>
        <v>0</v>
      </c>
      <c r="S54">
        <f>SmtRes!CM39</f>
        <v>0</v>
      </c>
      <c r="T54">
        <f>SmtRes!CN39</f>
        <v>0</v>
      </c>
      <c r="U54">
        <f>SmtRes!CO39</f>
        <v>0</v>
      </c>
      <c r="V54">
        <f>SmtRes!CP39</f>
        <v>0</v>
      </c>
      <c r="W54">
        <f>SmtRes!CQ39</f>
        <v>0</v>
      </c>
      <c r="X54">
        <f>SmtRes!CR39</f>
        <v>0</v>
      </c>
      <c r="Y54">
        <f>SmtRes!CB39</f>
        <v>0</v>
      </c>
      <c r="Z54" t="s">
        <v>237</v>
      </c>
      <c r="AA54">
        <f>SmtRes!CS39</f>
        <v>0</v>
      </c>
    </row>
    <row r="55" spans="1:27" ht="12.75">
      <c r="A55">
        <f>SmtRes!H41</f>
        <v>3</v>
      </c>
      <c r="B55" t="str">
        <f>SmtRes!I41</f>
        <v>1.3-2-5</v>
      </c>
      <c r="C55" t="str">
        <f>SmtRes!K41</f>
        <v>РАСТВОРЫ ЦЕМЕНТНЫЕ, МАРКА 100</v>
      </c>
      <c r="D55" t="str">
        <f>SmtRes!O41</f>
        <v>м3</v>
      </c>
      <c r="E55">
        <f>SmtRes!Y41</f>
        <v>3.3</v>
      </c>
      <c r="F55">
        <f>SmtRes!Y41*Source!I38</f>
        <v>1.452</v>
      </c>
      <c r="G55">
        <f>ROUND(SmtRes!AA41,2)</f>
        <v>451.14</v>
      </c>
      <c r="H55">
        <f>ROUND(SmtRes!AA41*SmtRes!Y41*Source!I38,2)</f>
        <v>655.06</v>
      </c>
      <c r="I55">
        <f>SmtRes!CC41</f>
        <v>0</v>
      </c>
      <c r="J55">
        <f>SmtRes!CD41</f>
        <v>0</v>
      </c>
      <c r="K55">
        <f>SmtRes!CE41</f>
        <v>0</v>
      </c>
      <c r="L55">
        <f>SmtRes!CF41</f>
        <v>0</v>
      </c>
      <c r="M55">
        <f>SmtRes!CG41</f>
        <v>0</v>
      </c>
      <c r="N55">
        <f>SmtRes!CH41</f>
        <v>0</v>
      </c>
      <c r="O55">
        <f>SmtRes!CI41</f>
        <v>0</v>
      </c>
      <c r="P55">
        <f>SmtRes!CJ41</f>
        <v>0</v>
      </c>
      <c r="Q55">
        <f>SmtRes!CK41</f>
        <v>0</v>
      </c>
      <c r="R55">
        <f>SmtRes!CL41</f>
        <v>0</v>
      </c>
      <c r="S55">
        <f>SmtRes!CM41</f>
        <v>0</v>
      </c>
      <c r="T55">
        <f>SmtRes!CN41</f>
        <v>0</v>
      </c>
      <c r="U55">
        <f>SmtRes!CO41</f>
        <v>0</v>
      </c>
      <c r="V55">
        <f>SmtRes!CP41</f>
        <v>0</v>
      </c>
      <c r="W55">
        <f>SmtRes!CQ41</f>
        <v>0</v>
      </c>
      <c r="X55">
        <f>SmtRes!CR41</f>
        <v>0</v>
      </c>
      <c r="Y55">
        <f>SmtRes!CB41</f>
        <v>0</v>
      </c>
      <c r="Z55" t="s">
        <v>237</v>
      </c>
      <c r="AA55">
        <f>SmtRes!CS41</f>
        <v>0</v>
      </c>
    </row>
    <row r="56" spans="1:27" ht="12.75">
      <c r="A56">
        <f>SmtRes!H42</f>
        <v>3</v>
      </c>
      <c r="B56" t="str">
        <f>SmtRes!I42</f>
        <v>1.5-4-468</v>
      </c>
      <c r="C56" t="str">
        <f>SmtRes!K42</f>
        <v>ПЛИТЫ ПАРАПЕТНЫЕ, МАРКА ПР-30, ПР-12</v>
      </c>
      <c r="D56" t="str">
        <f>SmtRes!O42</f>
        <v>м3</v>
      </c>
      <c r="E56">
        <f>SmtRes!Y42</f>
        <v>8.940909</v>
      </c>
      <c r="F56">
        <f>SmtRes!Y42*Source!I38</f>
        <v>3.93399996</v>
      </c>
      <c r="G56">
        <f>ROUND(SmtRes!AA42,2)</f>
        <v>1205.65</v>
      </c>
      <c r="H56">
        <f>ROUND(SmtRes!AA42*SmtRes!Y42*Source!I38,2)</f>
        <v>4743.03</v>
      </c>
      <c r="I56">
        <f>SmtRes!CC42</f>
        <v>0</v>
      </c>
      <c r="J56">
        <f>SmtRes!CD42</f>
        <v>0</v>
      </c>
      <c r="K56">
        <f>SmtRes!CE42</f>
        <v>0</v>
      </c>
      <c r="L56">
        <f>SmtRes!CF42</f>
        <v>0</v>
      </c>
      <c r="M56">
        <f>SmtRes!CG42</f>
        <v>0</v>
      </c>
      <c r="N56">
        <f>SmtRes!CH42</f>
        <v>0</v>
      </c>
      <c r="O56">
        <f>SmtRes!CI42</f>
        <v>0</v>
      </c>
      <c r="P56">
        <f>SmtRes!CJ42</f>
        <v>0</v>
      </c>
      <c r="Q56">
        <f>SmtRes!CK42</f>
        <v>0</v>
      </c>
      <c r="R56">
        <f>SmtRes!CL42</f>
        <v>0</v>
      </c>
      <c r="S56">
        <f>SmtRes!CM42</f>
        <v>0</v>
      </c>
      <c r="T56">
        <f>SmtRes!CN42</f>
        <v>0</v>
      </c>
      <c r="U56">
        <f>SmtRes!CO42</f>
        <v>0</v>
      </c>
      <c r="V56">
        <f>SmtRes!CP42</f>
        <v>0</v>
      </c>
      <c r="W56">
        <f>SmtRes!CQ42</f>
        <v>0</v>
      </c>
      <c r="X56">
        <f>SmtRes!CR42</f>
        <v>0</v>
      </c>
      <c r="Y56">
        <f>SmtRes!CB42</f>
        <v>0</v>
      </c>
      <c r="Z56" t="s">
        <v>252</v>
      </c>
      <c r="AA56">
        <f>SmtRes!CS42</f>
        <v>0</v>
      </c>
    </row>
    <row r="57" spans="1:27" ht="12.75">
      <c r="A57">
        <f>SmtRes!H58</f>
        <v>3</v>
      </c>
      <c r="B57" t="str">
        <f>SmtRes!I58</f>
        <v>1.7-1-10</v>
      </c>
      <c r="C57" t="str">
        <f>SmtRes!K58</f>
        <v>ВОРОНКИ ДЛЯ СБОРА АТМОСФЕРНЫХ ОСАДКОВ ИЗ ОЦИНКОВАННОЙ СТАЛИ, ДИАМЕТР 160 ММ</v>
      </c>
      <c r="D57" t="str">
        <f>SmtRes!O58</f>
        <v>шт.</v>
      </c>
      <c r="E57">
        <f>SmtRes!Y58</f>
        <v>1</v>
      </c>
      <c r="F57">
        <f>SmtRes!Y58*Source!I44</f>
        <v>1</v>
      </c>
      <c r="G57">
        <f>ROUND(SmtRes!AA58,2)</f>
        <v>115.54</v>
      </c>
      <c r="H57">
        <f>ROUND(SmtRes!AA58*SmtRes!Y58*Source!I44,2)</f>
        <v>115.54</v>
      </c>
      <c r="I57">
        <f>SmtRes!CC58</f>
        <v>0</v>
      </c>
      <c r="J57">
        <f>SmtRes!CD58</f>
        <v>0</v>
      </c>
      <c r="K57">
        <f>SmtRes!CE58</f>
        <v>0</v>
      </c>
      <c r="L57">
        <f>SmtRes!CF58</f>
        <v>0</v>
      </c>
      <c r="M57">
        <f>SmtRes!CG58</f>
        <v>0</v>
      </c>
      <c r="N57">
        <f>SmtRes!CH58</f>
        <v>0</v>
      </c>
      <c r="O57">
        <f>SmtRes!CI58</f>
        <v>0</v>
      </c>
      <c r="P57">
        <f>SmtRes!CJ58</f>
        <v>0</v>
      </c>
      <c r="Q57">
        <f>SmtRes!CK58</f>
        <v>0</v>
      </c>
      <c r="R57">
        <f>SmtRes!CL58</f>
        <v>0</v>
      </c>
      <c r="S57">
        <f>SmtRes!CM58</f>
        <v>0</v>
      </c>
      <c r="T57">
        <f>SmtRes!CN58</f>
        <v>0</v>
      </c>
      <c r="U57">
        <f>SmtRes!CO58</f>
        <v>0</v>
      </c>
      <c r="V57">
        <f>SmtRes!CP58</f>
        <v>0</v>
      </c>
      <c r="W57">
        <f>SmtRes!CQ58</f>
        <v>0</v>
      </c>
      <c r="X57">
        <f>SmtRes!CR58</f>
        <v>0</v>
      </c>
      <c r="Y57">
        <f>SmtRes!CB58</f>
        <v>0</v>
      </c>
      <c r="Z57" t="s">
        <v>257</v>
      </c>
      <c r="AA57">
        <f>SmtRes!CS58</f>
        <v>0</v>
      </c>
    </row>
    <row r="58" spans="1:27" ht="12.75">
      <c r="A58">
        <f>Source!BH48</f>
        <v>3</v>
      </c>
      <c r="B58" t="str">
        <f>Source!F48</f>
        <v>11-01-036-1</v>
      </c>
      <c r="C58">
        <f>Source!G48</f>
      </c>
      <c r="D58">
        <f>Source!H48</f>
      </c>
      <c r="E58">
        <f>Source!I48</f>
        <v>0</v>
      </c>
      <c r="F58">
        <f>Source!I48</f>
        <v>0</v>
      </c>
      <c r="G58">
        <f>ROUND(Source!AC48,2)</f>
        <v>0</v>
      </c>
      <c r="H58">
        <f>ROUND(Source!P48,2)</f>
        <v>0</v>
      </c>
      <c r="I58">
        <f>Source!FA48</f>
        <v>0</v>
      </c>
      <c r="J58">
        <f>Source!FB48</f>
        <v>0</v>
      </c>
      <c r="K58">
        <f>Source!FC48</f>
        <v>0</v>
      </c>
      <c r="L58">
        <f>Source!FD48</f>
        <v>0</v>
      </c>
      <c r="M58">
        <f>Source!FE48</f>
        <v>0</v>
      </c>
      <c r="N58">
        <f>Source!FF48</f>
        <v>0</v>
      </c>
      <c r="O58">
        <f>Source!FG48</f>
        <v>0</v>
      </c>
      <c r="P58">
        <f>Source!FH48</f>
        <v>0</v>
      </c>
      <c r="Q58">
        <f>Source!FI48</f>
        <v>0</v>
      </c>
      <c r="R58">
        <f>Source!FJ48</f>
        <v>0</v>
      </c>
      <c r="S58">
        <f>Source!FK48</f>
        <v>0</v>
      </c>
      <c r="T58">
        <f>Source!FL48</f>
        <v>0</v>
      </c>
      <c r="U58">
        <f>Source!FM48</f>
        <v>0</v>
      </c>
      <c r="V58">
        <f>Source!FN48</f>
        <v>0</v>
      </c>
      <c r="W58">
        <f>Source!FO48</f>
        <v>0</v>
      </c>
      <c r="X58">
        <f>Source!FP48</f>
        <v>0</v>
      </c>
      <c r="Y58">
        <f>Source!EZ48</f>
        <v>0</v>
      </c>
      <c r="Z58" t="s">
        <v>258</v>
      </c>
      <c r="AA58">
        <f>Source!FZ48</f>
        <v>0</v>
      </c>
    </row>
    <row r="59" spans="1:27" ht="12.75">
      <c r="A59">
        <f>SmtRes!H53</f>
        <v>3</v>
      </c>
      <c r="B59" t="str">
        <f>SmtRes!I53</f>
        <v>5263935000</v>
      </c>
      <c r="C59" t="str">
        <f>SmtRes!K53</f>
        <v>ВОРОНКИ</v>
      </c>
      <c r="D59" t="str">
        <f>SmtRes!O53</f>
        <v>шт.</v>
      </c>
      <c r="E59">
        <f>SmtRes!Y53</f>
        <v>1</v>
      </c>
      <c r="F59">
        <f>SmtRes!Y53*Source!I43</f>
        <v>1</v>
      </c>
      <c r="G59">
        <f>ROUND(SmtRes!AA53,2)</f>
        <v>0</v>
      </c>
      <c r="H59">
        <f>ROUND(SmtRes!AA53*SmtRes!Y53*Source!I43,2)</f>
        <v>0</v>
      </c>
      <c r="I59">
        <f>SmtRes!CC53</f>
        <v>0</v>
      </c>
      <c r="J59">
        <f>SmtRes!CD53</f>
        <v>0</v>
      </c>
      <c r="K59">
        <f>SmtRes!CE53</f>
        <v>0</v>
      </c>
      <c r="L59">
        <f>SmtRes!CF53</f>
        <v>0</v>
      </c>
      <c r="M59">
        <f>SmtRes!CG53</f>
        <v>0</v>
      </c>
      <c r="N59">
        <f>SmtRes!CH53</f>
        <v>0</v>
      </c>
      <c r="O59">
        <f>SmtRes!CI53</f>
        <v>0</v>
      </c>
      <c r="P59">
        <f>SmtRes!CJ53</f>
        <v>0</v>
      </c>
      <c r="Q59">
        <f>SmtRes!CK53</f>
        <v>0</v>
      </c>
      <c r="R59">
        <f>SmtRes!CL53</f>
        <v>0</v>
      </c>
      <c r="S59">
        <f>SmtRes!CM53</f>
        <v>0</v>
      </c>
      <c r="T59">
        <f>SmtRes!CN53</f>
        <v>0</v>
      </c>
      <c r="U59">
        <f>SmtRes!CO53</f>
        <v>0</v>
      </c>
      <c r="V59">
        <f>SmtRes!CP53</f>
        <v>0</v>
      </c>
      <c r="W59">
        <f>SmtRes!CQ53</f>
        <v>0</v>
      </c>
      <c r="X59">
        <f>SmtRes!CR53</f>
        <v>0</v>
      </c>
      <c r="Y59">
        <f>SmtRes!CB53</f>
        <v>0</v>
      </c>
      <c r="Z59" t="s">
        <v>256</v>
      </c>
      <c r="AA59">
        <f>SmtRes!CS53</f>
        <v>0</v>
      </c>
    </row>
    <row r="60" spans="1:27" ht="12.75">
      <c r="A60">
        <f>SmtRes!H3</f>
        <v>3</v>
      </c>
      <c r="B60" t="str">
        <f>SmtRes!I3</f>
        <v>5898000000</v>
      </c>
      <c r="C60" t="str">
        <f>SmtRes!K3</f>
        <v>СБОРНЫЕ ЖЕЛЕЗОБЕТОННЫЕ КОНСТРУКЦИИ</v>
      </c>
      <c r="D60" t="str">
        <f>SmtRes!O3</f>
        <v>шт.</v>
      </c>
      <c r="E60">
        <f>SmtRes!Y3</f>
        <v>0</v>
      </c>
      <c r="F60">
        <f>SmtRes!Y3*Source!I24</f>
        <v>0</v>
      </c>
      <c r="G60">
        <f>ROUND(SmtRes!AA3,2)</f>
        <v>0</v>
      </c>
      <c r="H60">
        <f>ROUND(SmtRes!AA3*SmtRes!Y3*Source!I24,2)</f>
        <v>0</v>
      </c>
      <c r="I60">
        <f>SmtRes!CC3</f>
        <v>0</v>
      </c>
      <c r="J60">
        <f>SmtRes!CD3</f>
        <v>0</v>
      </c>
      <c r="K60">
        <f>SmtRes!CE3</f>
        <v>0</v>
      </c>
      <c r="L60">
        <f>SmtRes!CF3</f>
        <v>0</v>
      </c>
      <c r="M60">
        <f>SmtRes!CG3</f>
        <v>0</v>
      </c>
      <c r="N60">
        <f>SmtRes!CH3</f>
        <v>0</v>
      </c>
      <c r="O60">
        <f>SmtRes!CI3</f>
        <v>0</v>
      </c>
      <c r="P60">
        <f>SmtRes!CJ3</f>
        <v>0</v>
      </c>
      <c r="Q60">
        <f>SmtRes!CK3</f>
        <v>0</v>
      </c>
      <c r="R60">
        <f>SmtRes!CL3</f>
        <v>0</v>
      </c>
      <c r="S60">
        <f>SmtRes!CM3</f>
        <v>0</v>
      </c>
      <c r="T60">
        <f>SmtRes!CN3</f>
        <v>0</v>
      </c>
      <c r="U60">
        <f>SmtRes!CO3</f>
        <v>0</v>
      </c>
      <c r="V60">
        <f>SmtRes!CP3</f>
        <v>0</v>
      </c>
      <c r="W60">
        <f>SmtRes!CQ3</f>
        <v>0</v>
      </c>
      <c r="X60">
        <f>SmtRes!CR3</f>
        <v>0</v>
      </c>
      <c r="Y60">
        <f>SmtRes!CB3</f>
        <v>0</v>
      </c>
      <c r="Z60" t="s">
        <v>238</v>
      </c>
      <c r="AA60">
        <f>SmtRes!CS3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7"/>
  <sheetViews>
    <sheetView tabSelected="1" view="pageBreakPreview" zoomScaleNormal="18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6" max="6" width="9.8515625" style="0" bestFit="1" customWidth="1"/>
    <col min="7" max="7" width="11.28125" style="0" customWidth="1"/>
    <col min="8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6" width="0" style="0" hidden="1" customWidth="1"/>
    <col min="27" max="27" width="120.140625" style="0" hidden="1" customWidth="1"/>
    <col min="28" max="28" width="0" style="0" hidden="1" customWidth="1"/>
  </cols>
  <sheetData>
    <row r="1" s="4" customFormat="1" ht="11.25">
      <c r="A1" s="4" t="s">
        <v>296</v>
      </c>
    </row>
    <row r="2" s="4" customFormat="1" ht="11.25">
      <c r="K2" s="4" t="s">
        <v>267</v>
      </c>
    </row>
    <row r="3" spans="1:9" s="5" customFormat="1" ht="15">
      <c r="A3" s="5" t="s">
        <v>209</v>
      </c>
      <c r="F3" s="74" t="s">
        <v>210</v>
      </c>
      <c r="G3" s="74"/>
      <c r="H3" s="74"/>
      <c r="I3" s="74"/>
    </row>
    <row r="5" spans="1:11" ht="12.75">
      <c r="A5" s="75">
        <f>Source!AS12</f>
      </c>
      <c r="B5" s="75"/>
      <c r="C5" s="75">
        <f>Source!CH12</f>
      </c>
      <c r="D5" s="75"/>
      <c r="E5" s="6"/>
      <c r="F5" s="75">
        <f>Source!AR12</f>
      </c>
      <c r="G5" s="75"/>
      <c r="H5" s="75"/>
      <c r="I5" s="75">
        <f>Source!CG12</f>
      </c>
      <c r="J5" s="75"/>
      <c r="K5" s="75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7"/>
      <c r="B7" s="7"/>
      <c r="C7" s="75">
        <f>Source!M12</f>
      </c>
      <c r="D7" s="75"/>
      <c r="E7" s="6"/>
      <c r="F7" s="7"/>
      <c r="G7" s="7"/>
      <c r="H7" s="75">
        <f>Source!L12</f>
      </c>
      <c r="I7" s="75"/>
      <c r="J7" s="75"/>
      <c r="K7" s="75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6" s="5" customFormat="1" ht="15">
      <c r="A9" s="5" t="s">
        <v>211</v>
      </c>
      <c r="F9" s="5" t="s">
        <v>211</v>
      </c>
    </row>
    <row r="12" spans="1:27" ht="12.75">
      <c r="A12" s="68" t="str">
        <f>IF(Source!G4&lt;&gt;"",Source!G4,IF(Source!F4&lt;&gt;"",Source!F4,IF(Source!G5&lt;&gt;"",Source!G5,IF(Source!F5&lt;&gt;"",Source!F5,IF(Source!G6&lt;&gt;"",Source!G6,IF(Source!F6&lt;&gt;"",Source!F6," "))))))</f>
        <v> 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AA12" s="13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3" spans="1:11" ht="12.75">
      <c r="A13" s="69" t="s">
        <v>212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5" spans="1:27" ht="15">
      <c r="A15" s="71" t="str">
        <f>CONCATENATE("ЛОКАЛЬНАЯ СМЕТА №  ",Source!F20)</f>
        <v>ЛОКАЛЬНАЯ СМЕТА №  Новая локальная смета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AA15" s="14" t="str">
        <f>CONCATENATE("ЛОКАЛЬНАЯ СМЕТА №  ",Source!F20)</f>
        <v>ЛОКАЛЬНАЯ СМЕТА №  Новая локальная смета</v>
      </c>
    </row>
    <row r="16" spans="1:11" ht="12.75">
      <c r="A16" s="63" t="s">
        <v>268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8" spans="1:27" ht="15.75">
      <c r="A18" s="72" t="str">
        <f>Source!G20</f>
        <v>Новая локальная смета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AA18" s="15" t="str">
        <f>Source!G20</f>
        <v>Новая локальная смета</v>
      </c>
    </row>
    <row r="20" spans="1:27" ht="18.75">
      <c r="A20" s="4" t="s">
        <v>213</v>
      </c>
      <c r="B20" s="73" t="str">
        <f>IF(Source!G12&lt;&gt;"",Source!G12,Source!F12)</f>
        <v>Библиотека №133</v>
      </c>
      <c r="C20" s="73"/>
      <c r="D20" s="73"/>
      <c r="E20" s="73"/>
      <c r="F20" s="73"/>
      <c r="G20" s="73"/>
      <c r="H20" s="73"/>
      <c r="I20" s="73"/>
      <c r="J20" s="73"/>
      <c r="K20" s="73"/>
      <c r="AA20" s="16" t="str">
        <f>IF(Source!G12&lt;&gt;"",Source!G12,Source!F12)</f>
        <v>Библиотека №133</v>
      </c>
    </row>
    <row r="21" spans="2:11" ht="12.75">
      <c r="B21" s="63" t="s">
        <v>214</v>
      </c>
      <c r="C21" s="64"/>
      <c r="D21" s="64"/>
      <c r="E21" s="64"/>
      <c r="F21" s="64"/>
      <c r="G21" s="64"/>
      <c r="H21" s="64"/>
      <c r="I21" s="64"/>
      <c r="J21" s="64"/>
      <c r="K21" s="64"/>
    </row>
    <row r="23" spans="1:6" ht="12.75">
      <c r="A23" s="4" t="s">
        <v>269</v>
      </c>
      <c r="B23" s="4"/>
      <c r="C23" s="4"/>
      <c r="D23" s="19">
        <f>IF(AND(Source!P12&lt;&gt;0,Source!Q12&lt;&gt;0),DATE(Source!P12,Source!Q12,1),IF(Source!AF12=0,"",IF(Source!AN12=0,"",DATE(Source!AF12,Source!AN12,1))))</f>
        <v>41426</v>
      </c>
      <c r="E23" s="20">
        <f>IF(AND(Source!P12&lt;&gt;0,Source!Q12&lt;&gt;0),Source!P12,IF(Source!AF12=0,"",Source!AF12))</f>
        <v>2013</v>
      </c>
      <c r="F23" s="4" t="s">
        <v>270</v>
      </c>
    </row>
    <row r="24" spans="1:25" ht="12.75">
      <c r="A24" s="25"/>
      <c r="B24" s="25"/>
      <c r="C24" s="25"/>
      <c r="D24" s="25"/>
      <c r="E24" s="25"/>
      <c r="F24" s="24" t="s">
        <v>226</v>
      </c>
      <c r="G24" s="65" t="s">
        <v>273</v>
      </c>
      <c r="H24" s="66"/>
      <c r="I24" s="24" t="s">
        <v>278</v>
      </c>
      <c r="J24" s="24" t="s">
        <v>281</v>
      </c>
      <c r="K24" s="23" t="s">
        <v>278</v>
      </c>
      <c r="Y24">
        <v>-1</v>
      </c>
    </row>
    <row r="25" spans="1:11" ht="12.75">
      <c r="A25" s="22" t="s">
        <v>215</v>
      </c>
      <c r="B25" s="22" t="s">
        <v>217</v>
      </c>
      <c r="C25" s="26"/>
      <c r="D25" s="22" t="s">
        <v>221</v>
      </c>
      <c r="E25" s="22" t="s">
        <v>224</v>
      </c>
      <c r="F25" s="22" t="s">
        <v>272</v>
      </c>
      <c r="G25" s="24"/>
      <c r="H25" s="24" t="s">
        <v>275</v>
      </c>
      <c r="I25" s="22" t="s">
        <v>279</v>
      </c>
      <c r="J25" s="22" t="s">
        <v>229</v>
      </c>
      <c r="K25" s="21" t="s">
        <v>284</v>
      </c>
    </row>
    <row r="26" spans="1:11" ht="12.75">
      <c r="A26" s="22" t="s">
        <v>216</v>
      </c>
      <c r="B26" s="22" t="s">
        <v>218</v>
      </c>
      <c r="C26" s="22" t="s">
        <v>220</v>
      </c>
      <c r="D26" s="22" t="s">
        <v>222</v>
      </c>
      <c r="E26" s="22" t="s">
        <v>225</v>
      </c>
      <c r="F26" s="22" t="s">
        <v>227</v>
      </c>
      <c r="G26" s="22" t="s">
        <v>274</v>
      </c>
      <c r="H26" s="22" t="s">
        <v>276</v>
      </c>
      <c r="I26" s="22" t="s">
        <v>280</v>
      </c>
      <c r="J26" s="22" t="s">
        <v>230</v>
      </c>
      <c r="K26" s="27" t="s">
        <v>285</v>
      </c>
    </row>
    <row r="27" spans="1:11" ht="12.75">
      <c r="A27" s="26"/>
      <c r="B27" s="22" t="s">
        <v>219</v>
      </c>
      <c r="C27" s="26"/>
      <c r="D27" s="22" t="s">
        <v>223</v>
      </c>
      <c r="E27" s="26"/>
      <c r="F27" s="22" t="s">
        <v>185</v>
      </c>
      <c r="G27" s="22" t="s">
        <v>228</v>
      </c>
      <c r="H27" s="22" t="s">
        <v>277</v>
      </c>
      <c r="I27" s="22" t="s">
        <v>185</v>
      </c>
      <c r="J27" s="22" t="s">
        <v>282</v>
      </c>
      <c r="K27" s="21" t="s">
        <v>286</v>
      </c>
    </row>
    <row r="28" spans="1:11" ht="12.75">
      <c r="A28" s="26"/>
      <c r="B28" s="22" t="s">
        <v>271</v>
      </c>
      <c r="C28" s="26"/>
      <c r="D28" s="26"/>
      <c r="E28" s="26"/>
      <c r="F28" s="26"/>
      <c r="G28" s="22"/>
      <c r="H28" s="22"/>
      <c r="I28" s="22"/>
      <c r="J28" s="22" t="s">
        <v>283</v>
      </c>
      <c r="K28" s="21"/>
    </row>
    <row r="29" spans="1:11" ht="12.75">
      <c r="A29" s="29">
        <v>1</v>
      </c>
      <c r="B29" s="29">
        <v>2</v>
      </c>
      <c r="C29" s="29">
        <v>3</v>
      </c>
      <c r="D29" s="29">
        <v>4</v>
      </c>
      <c r="E29" s="29">
        <v>5</v>
      </c>
      <c r="F29" s="29">
        <v>6</v>
      </c>
      <c r="G29" s="29">
        <v>7</v>
      </c>
      <c r="H29" s="29">
        <v>8</v>
      </c>
      <c r="I29" s="29">
        <v>9</v>
      </c>
      <c r="J29" s="29">
        <v>10</v>
      </c>
      <c r="K29" s="30">
        <v>11</v>
      </c>
    </row>
    <row r="30" spans="1:25" ht="48">
      <c r="A30" s="31" t="str">
        <f>Source!E24</f>
        <v>1</v>
      </c>
      <c r="B30" s="31" t="str">
        <f>Source!F24</f>
        <v>3.7-40-11</v>
      </c>
      <c r="C30" s="17" t="str">
        <f>Source!G24</f>
        <v>УСТАНОВКА МЕЛКИХ КОНСТРУКЦИЙ (ПОДОКОННИКОВ, СЛИВОВ, ПАРАПЕТОВ И ДР) МАССОЙ ДО 0,5 Т</v>
      </c>
      <c r="D30" s="32" t="str">
        <f>Source!H24</f>
        <v>100 шт.</v>
      </c>
      <c r="E30" s="11">
        <f>ROUND(Source!I24,6)</f>
        <v>0.44</v>
      </c>
      <c r="F30" s="11"/>
      <c r="G30" s="11"/>
      <c r="H30" s="11"/>
      <c r="I30" s="11"/>
      <c r="J30" s="11"/>
      <c r="K30" s="11"/>
      <c r="Y30">
        <v>1</v>
      </c>
    </row>
    <row r="31" spans="1:11" ht="12.75">
      <c r="A31" s="11"/>
      <c r="B31" s="11"/>
      <c r="C31" s="11" t="s">
        <v>287</v>
      </c>
      <c r="D31" s="11"/>
      <c r="E31" s="11"/>
      <c r="F31" s="18">
        <f>Source!AO24</f>
        <v>1239.09</v>
      </c>
      <c r="G31" s="33" t="str">
        <f>Source!DG24</f>
        <v>*0,8</v>
      </c>
      <c r="H31" s="11">
        <f>Source!AV24</f>
        <v>1.087</v>
      </c>
      <c r="I31" s="18">
        <f>ROUND((Source!CT24/IF(Source!BA24&lt;&gt;0,Source!BA24,1)*Source!I24),2)</f>
        <v>474.11</v>
      </c>
      <c r="J31" s="11">
        <f>Source!BA24</f>
        <v>14.18</v>
      </c>
      <c r="K31" s="18">
        <f>Source!S24</f>
        <v>6722.82</v>
      </c>
    </row>
    <row r="32" spans="1:11" ht="12.75">
      <c r="A32" s="11"/>
      <c r="B32" s="11"/>
      <c r="C32" s="11" t="s">
        <v>288</v>
      </c>
      <c r="D32" s="11"/>
      <c r="E32" s="11"/>
      <c r="F32" s="18">
        <f>Source!AM24</f>
        <v>0</v>
      </c>
      <c r="G32" s="33" t="str">
        <f>Source!DE24</f>
        <v>*0,8</v>
      </c>
      <c r="H32" s="11">
        <f>Source!AV24</f>
        <v>1.087</v>
      </c>
      <c r="I32" s="18">
        <f>ROUND((Source!CR24/IF(Source!BB24&lt;&gt;0,Source!BB24,1)*Source!I24),2)</f>
        <v>0</v>
      </c>
      <c r="J32" s="11">
        <f>Source!BB24</f>
        <v>1</v>
      </c>
      <c r="K32" s="18">
        <f>Source!Q24</f>
        <v>0</v>
      </c>
    </row>
    <row r="33" spans="1:12" ht="12.75">
      <c r="A33" s="11"/>
      <c r="B33" s="11"/>
      <c r="C33" s="11" t="s">
        <v>289</v>
      </c>
      <c r="D33" s="11"/>
      <c r="E33" s="11"/>
      <c r="F33" s="18">
        <f>Source!AN24</f>
        <v>0</v>
      </c>
      <c r="G33" s="33" t="str">
        <f>Source!DF24</f>
        <v>*0,8</v>
      </c>
      <c r="H33" s="11">
        <f>Source!AV24</f>
        <v>1.087</v>
      </c>
      <c r="I33" s="34" t="str">
        <f>CONCATENATE("(",TEXT(+ROUND((Source!CS24/IF(J33&lt;&gt;0,J33,1)*Source!I24),2),"0,00"),")")</f>
        <v>(0,00)</v>
      </c>
      <c r="J33" s="11">
        <f>Source!BS24</f>
        <v>14.18</v>
      </c>
      <c r="K33" s="34" t="str">
        <f>CONCATENATE("(",TEXT(+Source!R24,"0,00"),")")</f>
        <v>(0,00)</v>
      </c>
      <c r="L33">
        <f>ROUND(IF(J33&lt;&gt;0,Source!R24/J33,Source!R24),2)</f>
        <v>0</v>
      </c>
    </row>
    <row r="34" spans="1:11" ht="12.75">
      <c r="A34" s="11"/>
      <c r="B34" s="11"/>
      <c r="C34" s="11" t="s">
        <v>290</v>
      </c>
      <c r="D34" s="11"/>
      <c r="E34" s="11"/>
      <c r="F34" s="18">
        <f>Source!AL24</f>
        <v>1488.76</v>
      </c>
      <c r="G34" s="11" t="str">
        <f>Source!DD24</f>
        <v>*0</v>
      </c>
      <c r="H34" s="11">
        <f>Source!AW24</f>
        <v>1.003</v>
      </c>
      <c r="I34" s="18">
        <f>ROUND((Source!CQ24/IF(Source!BC24&lt;&gt;0,Source!BC24,1)*Source!I24),2)</f>
        <v>0</v>
      </c>
      <c r="J34" s="11">
        <f>Source!BC24</f>
        <v>6.14</v>
      </c>
      <c r="K34" s="18">
        <f>Source!P24</f>
        <v>0</v>
      </c>
    </row>
    <row r="35" spans="1:11" ht="12.75">
      <c r="A35" s="11"/>
      <c r="B35" s="11"/>
      <c r="C35" s="11" t="s">
        <v>291</v>
      </c>
      <c r="D35" s="11" t="s">
        <v>232</v>
      </c>
      <c r="E35" s="11">
        <f>Source!DN24</f>
        <v>138</v>
      </c>
      <c r="F35" s="11"/>
      <c r="G35" s="11"/>
      <c r="H35" s="11"/>
      <c r="I35" s="18">
        <f>ROUND((E35/100)*ROUND((Source!CT24/IF(Source!BA24&lt;&gt;0,Source!BA24,1)*Source!I24),2),2)</f>
        <v>654.27</v>
      </c>
      <c r="J35" s="11">
        <f>Source!AT24</f>
        <v>117</v>
      </c>
      <c r="K35" s="18">
        <f>Source!X24</f>
        <v>7865.7</v>
      </c>
    </row>
    <row r="36" spans="1:11" ht="12.75">
      <c r="A36" s="11"/>
      <c r="B36" s="11"/>
      <c r="C36" s="11" t="s">
        <v>292</v>
      </c>
      <c r="D36" s="11" t="s">
        <v>232</v>
      </c>
      <c r="E36" s="11">
        <f>Source!DO24</f>
        <v>70</v>
      </c>
      <c r="F36" s="11"/>
      <c r="G36" s="11"/>
      <c r="H36" s="11"/>
      <c r="I36" s="18">
        <f>ROUND((E36/100)*ROUND((Source!CT24/IF(Source!BA24&lt;&gt;0,Source!BA24,1)*Source!I24),2),2)</f>
        <v>331.88</v>
      </c>
      <c r="J36" s="11">
        <f>Source!AU24</f>
        <v>44</v>
      </c>
      <c r="K36" s="18">
        <f>Source!Y24</f>
        <v>2958.04</v>
      </c>
    </row>
    <row r="37" spans="1:11" ht="12.75">
      <c r="A37" s="11"/>
      <c r="B37" s="11"/>
      <c r="C37" s="11" t="s">
        <v>293</v>
      </c>
      <c r="D37" s="11" t="s">
        <v>232</v>
      </c>
      <c r="E37" s="11">
        <v>175</v>
      </c>
      <c r="F37" s="11"/>
      <c r="G37" s="11"/>
      <c r="H37" s="11"/>
      <c r="I37" s="18">
        <f>ROUND(ROUND((Source!CS24/IF(Source!BS24&lt;&gt;0,Source!BS24,1)*Source!I24),2)*1.75,2)</f>
        <v>0</v>
      </c>
      <c r="J37" s="11">
        <v>180</v>
      </c>
      <c r="K37" s="18">
        <f>ROUND(Source!R24*J37/100,2)</f>
        <v>0</v>
      </c>
    </row>
    <row r="38" spans="1:11" ht="12.75">
      <c r="A38" s="35"/>
      <c r="B38" s="35"/>
      <c r="C38" s="35" t="s">
        <v>231</v>
      </c>
      <c r="D38" s="35" t="s">
        <v>233</v>
      </c>
      <c r="E38" s="35">
        <f>Source!AQ24</f>
        <v>103</v>
      </c>
      <c r="F38" s="35"/>
      <c r="G38" s="36" t="str">
        <f>Source!DI24</f>
        <v>*0,8</v>
      </c>
      <c r="H38" s="35">
        <f>Source!AV24</f>
        <v>1.087</v>
      </c>
      <c r="I38" s="37">
        <f>ROUND(Source!U24,2)</f>
        <v>39.41</v>
      </c>
      <c r="J38" s="35"/>
      <c r="K38" s="35"/>
    </row>
    <row r="39" spans="9:24" ht="12.75">
      <c r="I39" s="38">
        <f>ROUND((Source!CT24/IF(Source!BA24&lt;&gt;0,Source!BA24,1)*Source!I24),2)+ROUND((Source!CR24/IF(Source!BB24&lt;&gt;0,Source!BB24,1)*Source!I24),2)+ROUND((Source!CQ24/IF(Source!BC24&lt;&gt;0,Source!BC24,1)*Source!I24),2)+SUM(I35:I37)</f>
        <v>1460.26</v>
      </c>
      <c r="J39" s="12"/>
      <c r="K39" s="38">
        <f>Source!O24+SUM(K35:K37)</f>
        <v>17546.559999999998</v>
      </c>
      <c r="L39">
        <f>ROUND((Source!CT24/IF(Source!BA24&lt;&gt;0,Source!BA24,1)*Source!I24),2)</f>
        <v>474.11</v>
      </c>
      <c r="M39" s="9">
        <f>I39</f>
        <v>1460.26</v>
      </c>
      <c r="N39" s="9">
        <f>K39</f>
        <v>17546.559999999998</v>
      </c>
      <c r="O39">
        <f>ROUND(IF(Source!BI24=1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1460.26</v>
      </c>
      <c r="P39">
        <f>ROUND(IF(Source!BI24=2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Q39">
        <f>ROUND(IF(Source!BI24=3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R39">
        <f>ROUND(IF(Source!BI24=4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U39">
        <f>IF(Source!BI24=1,Source!O24+Source!X24+Source!Y24+Source!R24*180/100,0)</f>
        <v>17546.56</v>
      </c>
      <c r="V39">
        <f>IF(Source!BI24=2,Source!O24+Source!X24+Source!Y24+Source!R24*180/100,0)</f>
        <v>0</v>
      </c>
      <c r="W39">
        <f>IF(Source!BI24=3,Source!O24+Source!X24+Source!Y24+Source!R24*180/100,0)</f>
        <v>0</v>
      </c>
      <c r="X39">
        <f>IF(Source!BI24=4,Source!O24+Source!X24+Source!Y24+Source!R24*180/100,0)</f>
        <v>0</v>
      </c>
    </row>
    <row r="40" spans="1:25" ht="36">
      <c r="A40" s="31" t="str">
        <f>Source!E25</f>
        <v>2</v>
      </c>
      <c r="B40" s="31" t="str">
        <f>Source!F25</f>
        <v>6.58-2-1</v>
      </c>
      <c r="C40" s="17" t="str">
        <f>Source!G25</f>
        <v>РАЗБОРКА ПОКРЫТИЙ КРОВЛИ ИЗ РУЛОННЫХ МАТЕРИАЛОВ В 1-3 СЛОЯ</v>
      </c>
      <c r="D40" s="32" t="str">
        <f>Source!H25</f>
        <v>100 м2</v>
      </c>
      <c r="E40" s="11">
        <f>ROUND(Source!I25,6)</f>
        <v>6.962</v>
      </c>
      <c r="F40" s="11"/>
      <c r="G40" s="11"/>
      <c r="H40" s="11"/>
      <c r="I40" s="11"/>
      <c r="J40" s="11"/>
      <c r="K40" s="11"/>
      <c r="Y40">
        <v>2</v>
      </c>
    </row>
    <row r="41" spans="1:11" ht="12.75">
      <c r="A41" s="11"/>
      <c r="B41" s="11"/>
      <c r="C41" s="11" t="s">
        <v>287</v>
      </c>
      <c r="D41" s="11"/>
      <c r="E41" s="11"/>
      <c r="F41" s="18">
        <f>Source!AO25</f>
        <v>191.34</v>
      </c>
      <c r="G41" s="33">
        <f>Source!DG25</f>
      </c>
      <c r="H41" s="11">
        <f>Source!AV25</f>
        <v>1.047</v>
      </c>
      <c r="I41" s="18">
        <f>ROUND((Source!CT25/IF(Source!BA25&lt;&gt;0,Source!BA25,1)*Source!I25),2)</f>
        <v>1394.72</v>
      </c>
      <c r="J41" s="11">
        <f>Source!BA25</f>
        <v>14.18</v>
      </c>
      <c r="K41" s="18">
        <f>Source!S25</f>
        <v>19777.1</v>
      </c>
    </row>
    <row r="42" spans="1:11" ht="12.75">
      <c r="A42" s="11"/>
      <c r="B42" s="11"/>
      <c r="C42" s="11" t="s">
        <v>288</v>
      </c>
      <c r="D42" s="11"/>
      <c r="E42" s="11"/>
      <c r="F42" s="18">
        <f>Source!AM25</f>
        <v>0</v>
      </c>
      <c r="G42" s="33">
        <f>Source!DE25</f>
      </c>
      <c r="H42" s="11">
        <f>Source!AV25</f>
        <v>1.047</v>
      </c>
      <c r="I42" s="18">
        <f>ROUND((Source!CR25/IF(Source!BB25&lt;&gt;0,Source!BB25,1)*Source!I25),2)</f>
        <v>0</v>
      </c>
      <c r="J42" s="11">
        <f>Source!BB25</f>
        <v>1</v>
      </c>
      <c r="K42" s="18">
        <f>Source!Q25</f>
        <v>0</v>
      </c>
    </row>
    <row r="43" spans="1:12" ht="12.75">
      <c r="A43" s="11"/>
      <c r="B43" s="11"/>
      <c r="C43" s="11" t="s">
        <v>289</v>
      </c>
      <c r="D43" s="11"/>
      <c r="E43" s="11"/>
      <c r="F43" s="18">
        <f>Source!AN25</f>
        <v>0</v>
      </c>
      <c r="G43" s="33">
        <f>Source!DF25</f>
      </c>
      <c r="H43" s="11">
        <f>Source!AV25</f>
        <v>1.047</v>
      </c>
      <c r="I43" s="34" t="str">
        <f>CONCATENATE("(",TEXT(+ROUND((Source!CS25/IF(J43&lt;&gt;0,J43,1)*Source!I25),2),"0,00"),")")</f>
        <v>(0,00)</v>
      </c>
      <c r="J43" s="11">
        <f>Source!BS25</f>
        <v>14.18</v>
      </c>
      <c r="K43" s="34" t="str">
        <f>CONCATENATE("(",TEXT(+Source!R25,"0,00"),")")</f>
        <v>(0,00)</v>
      </c>
      <c r="L43">
        <f>ROUND(IF(J43&lt;&gt;0,Source!R25/J43,Source!R25),2)</f>
        <v>0</v>
      </c>
    </row>
    <row r="44" spans="1:11" ht="12.75">
      <c r="A44" s="11"/>
      <c r="B44" s="11"/>
      <c r="C44" s="11" t="s">
        <v>290</v>
      </c>
      <c r="D44" s="11"/>
      <c r="E44" s="11"/>
      <c r="F44" s="18">
        <f>Source!AL25</f>
        <v>0</v>
      </c>
      <c r="G44" s="11">
        <f>Source!DD25</f>
      </c>
      <c r="H44" s="11">
        <f>Source!AW25</f>
        <v>1</v>
      </c>
      <c r="I44" s="18">
        <f>ROUND((Source!CQ25/IF(Source!BC25&lt;&gt;0,Source!BC25,1)*Source!I25),2)</f>
        <v>0</v>
      </c>
      <c r="J44" s="11">
        <f>Source!BC25</f>
        <v>1</v>
      </c>
      <c r="K44" s="18">
        <f>Source!P25</f>
        <v>0</v>
      </c>
    </row>
    <row r="45" spans="1:11" ht="12.75">
      <c r="A45" s="11"/>
      <c r="B45" s="11"/>
      <c r="C45" s="11" t="s">
        <v>291</v>
      </c>
      <c r="D45" s="11" t="s">
        <v>232</v>
      </c>
      <c r="E45" s="11">
        <f>Source!DN25</f>
        <v>80</v>
      </c>
      <c r="F45" s="11"/>
      <c r="G45" s="11"/>
      <c r="H45" s="11"/>
      <c r="I45" s="18">
        <f>ROUND((E45/100)*ROUND((Source!CT25/IF(Source!BA25&lt;&gt;0,Source!BA25,1)*Source!I25),2),2)</f>
        <v>1115.78</v>
      </c>
      <c r="J45" s="11">
        <f>Source!AT25</f>
        <v>72</v>
      </c>
      <c r="K45" s="18">
        <f>Source!X25</f>
        <v>14239.51</v>
      </c>
    </row>
    <row r="46" spans="1:11" ht="12.75">
      <c r="A46" s="11"/>
      <c r="B46" s="11"/>
      <c r="C46" s="11" t="s">
        <v>292</v>
      </c>
      <c r="D46" s="11" t="s">
        <v>232</v>
      </c>
      <c r="E46" s="11">
        <f>Source!DO25</f>
        <v>55</v>
      </c>
      <c r="F46" s="11"/>
      <c r="G46" s="11"/>
      <c r="H46" s="11"/>
      <c r="I46" s="18">
        <f>ROUND((E46/100)*ROUND((Source!CT25/IF(Source!BA25&lt;&gt;0,Source!BA25,1)*Source!I25),2),2)</f>
        <v>767.1</v>
      </c>
      <c r="J46" s="11">
        <f>Source!AU25</f>
        <v>44</v>
      </c>
      <c r="K46" s="18">
        <f>Source!Y25</f>
        <v>8701.92</v>
      </c>
    </row>
    <row r="47" spans="1:11" ht="12.75">
      <c r="A47" s="11"/>
      <c r="B47" s="11"/>
      <c r="C47" s="11" t="s">
        <v>293</v>
      </c>
      <c r="D47" s="11" t="s">
        <v>232</v>
      </c>
      <c r="E47" s="11">
        <v>175</v>
      </c>
      <c r="F47" s="11"/>
      <c r="G47" s="11"/>
      <c r="H47" s="11"/>
      <c r="I47" s="18">
        <f>ROUND(ROUND((Source!CS25/IF(Source!BS25&lt;&gt;0,Source!BS25,1)*Source!I25),2)*1.75,2)</f>
        <v>0</v>
      </c>
      <c r="J47" s="11">
        <v>180</v>
      </c>
      <c r="K47" s="18">
        <f>ROUND(Source!R25*J47/100,2)</f>
        <v>0</v>
      </c>
    </row>
    <row r="48" spans="1:11" ht="12.75">
      <c r="A48" s="35"/>
      <c r="B48" s="35"/>
      <c r="C48" s="35" t="s">
        <v>231</v>
      </c>
      <c r="D48" s="35" t="s">
        <v>233</v>
      </c>
      <c r="E48" s="35">
        <f>Source!AQ25</f>
        <v>17.41</v>
      </c>
      <c r="F48" s="35"/>
      <c r="G48" s="36">
        <f>Source!DI25</f>
      </c>
      <c r="H48" s="35">
        <f>Source!AV25</f>
        <v>1.047</v>
      </c>
      <c r="I48" s="37">
        <f>ROUND(Source!U25,2)</f>
        <v>126.91</v>
      </c>
      <c r="J48" s="35"/>
      <c r="K48" s="35"/>
    </row>
    <row r="49" spans="9:24" ht="12.75">
      <c r="I49" s="38">
        <f>ROUND((Source!CT25/IF(Source!BA25&lt;&gt;0,Source!BA25,1)*Source!I25),2)+ROUND((Source!CR25/IF(Source!BB25&lt;&gt;0,Source!BB25,1)*Source!I25),2)+ROUND((Source!CQ25/IF(Source!BC25&lt;&gt;0,Source!BC25,1)*Source!I25),2)+SUM(I45:I47)</f>
        <v>3277.6000000000004</v>
      </c>
      <c r="J49" s="12"/>
      <c r="K49" s="38">
        <f>Source!O25+SUM(K45:K47)</f>
        <v>42718.53</v>
      </c>
      <c r="L49">
        <f>ROUND((Source!CT25/IF(Source!BA25&lt;&gt;0,Source!BA25,1)*Source!I25),2)</f>
        <v>1394.72</v>
      </c>
      <c r="M49" s="9">
        <f>I49</f>
        <v>3277.6000000000004</v>
      </c>
      <c r="N49" s="9">
        <f>K49</f>
        <v>42718.53</v>
      </c>
      <c r="O49">
        <f>ROUND(IF(Source!BI25=1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3277.59</v>
      </c>
      <c r="P49">
        <f>ROUND(IF(Source!BI25=2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Q49">
        <f>ROUND(IF(Source!BI25=3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R49">
        <f>ROUND(IF(Source!BI25=4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U49">
        <f>IF(Source!BI25=1,Source!O25+Source!X25+Source!Y25+Source!R25*180/100,0)</f>
        <v>42718.53</v>
      </c>
      <c r="V49">
        <f>IF(Source!BI25=2,Source!O25+Source!X25+Source!Y25+Source!R25*180/100,0)</f>
        <v>0</v>
      </c>
      <c r="W49">
        <f>IF(Source!BI25=3,Source!O25+Source!X25+Source!Y25+Source!R25*180/100,0)</f>
        <v>0</v>
      </c>
      <c r="X49">
        <f>IF(Source!BI25=4,Source!O25+Source!X25+Source!Y25+Source!R25*180/100,0)</f>
        <v>0</v>
      </c>
    </row>
    <row r="50" spans="1:25" ht="24">
      <c r="A50" s="31" t="str">
        <f>Source!E26</f>
        <v>3</v>
      </c>
      <c r="B50" s="31" t="str">
        <f>Source!F26</f>
        <v>6.58-25-5</v>
      </c>
      <c r="C50" s="17" t="str">
        <f>Source!G26</f>
        <v>СМЕНА ПРИМЫКАНИЙ К СТЕНАМ ИЗ ЛИСТОВОЙ СТАЛИ</v>
      </c>
      <c r="D50" s="32" t="str">
        <f>Source!H26</f>
        <v>100 м</v>
      </c>
      <c r="E50" s="11">
        <f>ROUND(Source!I26,6)</f>
        <v>0.11</v>
      </c>
      <c r="F50" s="11"/>
      <c r="G50" s="11"/>
      <c r="H50" s="11"/>
      <c r="I50" s="11"/>
      <c r="J50" s="11"/>
      <c r="K50" s="11"/>
      <c r="Y50">
        <v>3</v>
      </c>
    </row>
    <row r="51" spans="1:11" ht="12.75">
      <c r="A51" s="11"/>
      <c r="B51" s="11"/>
      <c r="C51" s="11" t="s">
        <v>287</v>
      </c>
      <c r="D51" s="11"/>
      <c r="E51" s="11"/>
      <c r="F51" s="18">
        <f>Source!AO26</f>
        <v>486.31</v>
      </c>
      <c r="G51" s="33">
        <f>Source!DG26</f>
      </c>
      <c r="H51" s="11">
        <f>Source!AV26</f>
        <v>1.087</v>
      </c>
      <c r="I51" s="18">
        <f>ROUND((Source!CT26/IF(Source!BA26&lt;&gt;0,Source!BA26,1)*Source!I26),2)</f>
        <v>58.15</v>
      </c>
      <c r="J51" s="11">
        <f>Source!BA26</f>
        <v>14.18</v>
      </c>
      <c r="K51" s="18">
        <f>Source!S26</f>
        <v>824.54</v>
      </c>
    </row>
    <row r="52" spans="1:11" ht="12.75">
      <c r="A52" s="11"/>
      <c r="B52" s="11"/>
      <c r="C52" s="11" t="s">
        <v>288</v>
      </c>
      <c r="D52" s="11"/>
      <c r="E52" s="11"/>
      <c r="F52" s="18">
        <f>Source!AM26</f>
        <v>0</v>
      </c>
      <c r="G52" s="33">
        <f>Source!DE26</f>
      </c>
      <c r="H52" s="11">
        <f>Source!AV26</f>
        <v>1.087</v>
      </c>
      <c r="I52" s="18">
        <f>ROUND((Source!CR26/IF(Source!BB26&lt;&gt;0,Source!BB26,1)*Source!I26),2)</f>
        <v>0</v>
      </c>
      <c r="J52" s="11">
        <f>Source!BB26</f>
        <v>1</v>
      </c>
      <c r="K52" s="18">
        <f>Source!Q26</f>
        <v>0</v>
      </c>
    </row>
    <row r="53" spans="1:12" ht="12.75">
      <c r="A53" s="11"/>
      <c r="B53" s="11"/>
      <c r="C53" s="11" t="s">
        <v>289</v>
      </c>
      <c r="D53" s="11"/>
      <c r="E53" s="11"/>
      <c r="F53" s="18">
        <f>Source!AN26</f>
        <v>0</v>
      </c>
      <c r="G53" s="33">
        <f>Source!DF26</f>
      </c>
      <c r="H53" s="11">
        <f>Source!AV26</f>
        <v>1.087</v>
      </c>
      <c r="I53" s="34" t="str">
        <f>CONCATENATE("(",TEXT(+ROUND((Source!CS26/IF(J53&lt;&gt;0,J53,1)*Source!I26),2),"0,00"),")")</f>
        <v>(0,00)</v>
      </c>
      <c r="J53" s="11">
        <f>Source!BS26</f>
        <v>14.18</v>
      </c>
      <c r="K53" s="34" t="str">
        <f>CONCATENATE("(",TEXT(+Source!R26,"0,00"),")")</f>
        <v>(0,00)</v>
      </c>
      <c r="L53">
        <f>ROUND(IF(J53&lt;&gt;0,Source!R26/J53,Source!R26),2)</f>
        <v>0</v>
      </c>
    </row>
    <row r="54" spans="1:11" ht="12.75">
      <c r="A54" s="11"/>
      <c r="B54" s="11"/>
      <c r="C54" s="11" t="s">
        <v>290</v>
      </c>
      <c r="D54" s="11"/>
      <c r="E54" s="11"/>
      <c r="F54" s="18">
        <f>Source!AL26</f>
        <v>26.09</v>
      </c>
      <c r="G54" s="11">
        <f>Source!DD26</f>
      </c>
      <c r="H54" s="11">
        <f>Source!AW26</f>
        <v>1.001</v>
      </c>
      <c r="I54" s="18">
        <f>ROUND((Source!CQ26/IF(Source!BC26&lt;&gt;0,Source!BC26,1)*Source!I26),2)</f>
        <v>2.87</v>
      </c>
      <c r="J54" s="11">
        <f>Source!BC26</f>
        <v>5.12</v>
      </c>
      <c r="K54" s="18">
        <f>Source!P26</f>
        <v>14.71</v>
      </c>
    </row>
    <row r="55" spans="1:25" ht="36">
      <c r="A55" s="31" t="str">
        <f>Source!E27</f>
        <v>3,1</v>
      </c>
      <c r="B55" s="31" t="str">
        <f>Source!F27</f>
        <v>1.1-1-1079</v>
      </c>
      <c r="C55" s="17" t="str">
        <f>Source!G27</f>
        <v>СТАЛЬ ЛИСТОВАЯ, ОЦИНКОВАННАЯ, ТОЛЩИНА 0,5 ММ</v>
      </c>
      <c r="D55" s="32" t="str">
        <f>Source!H27</f>
        <v>т</v>
      </c>
      <c r="E55" s="11">
        <f>ROUND(Source!I27,6)</f>
        <v>0.015</v>
      </c>
      <c r="F55" s="18">
        <f>IF(Source!AL27=0,Source!AK27,Source!AL27)</f>
        <v>15328.48</v>
      </c>
      <c r="G55" s="33">
        <f>Source!DD27</f>
      </c>
      <c r="H55" s="11">
        <f>Source!AW27</f>
        <v>1.001</v>
      </c>
      <c r="I55" s="18">
        <f>ROUND((Source!CR27/IF(Source!BB27&lt;&gt;0,Source!BB27,1)*Source!I27),2)+ROUND((Source!CQ27/IF(Source!BC27&lt;&gt;0,Source!BC27,1)*Source!I27),2)+ROUND((Source!CT27/IF(Source!BA27&lt;&gt;0,Source!BA27,1)*Source!I27),2)</f>
        <v>230.16</v>
      </c>
      <c r="J55" s="11">
        <f>Source!BC27</f>
        <v>2.02</v>
      </c>
      <c r="K55" s="18">
        <f>Source!O27+Source!X27+Source!Y27</f>
        <v>464.92</v>
      </c>
      <c r="O55">
        <f>IF(Source!BI27=1,(ROUND((Source!CR27/IF(Source!BB27&lt;&gt;0,Source!BB27,1)*Source!I27),2)+ROUND((Source!CQ27/IF(Source!BC27&lt;&gt;0,Source!BC27,1)*Source!I27),2)+ROUND((Source!CT27/IF(Source!BA27&lt;&gt;0,Source!BA27,1)*Source!I27),2)),0)</f>
        <v>230.16</v>
      </c>
      <c r="P55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55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55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U55">
        <f>IF(Source!BI27=1,Source!O27+Source!X27+Source!Y27,0)</f>
        <v>464.92</v>
      </c>
      <c r="V55">
        <f>IF(Source!BI27=2,Source!O27+Source!X27+Source!Y27,0)</f>
        <v>0</v>
      </c>
      <c r="W55">
        <f>IF(Source!BI27=3,Source!O27+Source!X27+Source!Y27,0)</f>
        <v>0</v>
      </c>
      <c r="X55">
        <f>IF(Source!BI27=4,Source!O27+Source!X27+Source!Y27,0)</f>
        <v>0</v>
      </c>
      <c r="Y55">
        <v>4</v>
      </c>
    </row>
    <row r="56" spans="1:11" ht="12.75">
      <c r="A56" s="11"/>
      <c r="B56" s="11"/>
      <c r="C56" s="11" t="s">
        <v>291</v>
      </c>
      <c r="D56" s="11" t="s">
        <v>232</v>
      </c>
      <c r="E56" s="11">
        <f>Source!DN26</f>
        <v>104</v>
      </c>
      <c r="F56" s="11"/>
      <c r="G56" s="11"/>
      <c r="H56" s="11"/>
      <c r="I56" s="18">
        <f>ROUND((E56/100)*ROUND((Source!CT26/IF(Source!BA26&lt;&gt;0,Source!BA26,1)*Source!I26),2),2)</f>
        <v>60.48</v>
      </c>
      <c r="J56" s="11">
        <f>Source!AT26</f>
        <v>89</v>
      </c>
      <c r="K56" s="18">
        <f>Source!X26</f>
        <v>733.84</v>
      </c>
    </row>
    <row r="57" spans="1:11" ht="12.75">
      <c r="A57" s="11"/>
      <c r="B57" s="11"/>
      <c r="C57" s="11" t="s">
        <v>292</v>
      </c>
      <c r="D57" s="11" t="s">
        <v>232</v>
      </c>
      <c r="E57" s="11">
        <f>Source!DO26</f>
        <v>79</v>
      </c>
      <c r="F57" s="11"/>
      <c r="G57" s="11"/>
      <c r="H57" s="11"/>
      <c r="I57" s="18">
        <f>ROUND((E57/100)*ROUND((Source!CT26/IF(Source!BA26&lt;&gt;0,Source!BA26,1)*Source!I26),2),2)</f>
        <v>45.94</v>
      </c>
      <c r="J57" s="11">
        <f>Source!AU26</f>
        <v>44</v>
      </c>
      <c r="K57" s="18">
        <f>Source!Y26</f>
        <v>362.8</v>
      </c>
    </row>
    <row r="58" spans="1:11" ht="12.75">
      <c r="A58" s="11"/>
      <c r="B58" s="11"/>
      <c r="C58" s="11" t="s">
        <v>293</v>
      </c>
      <c r="D58" s="11" t="s">
        <v>232</v>
      </c>
      <c r="E58" s="11">
        <v>175</v>
      </c>
      <c r="F58" s="11"/>
      <c r="G58" s="11"/>
      <c r="H58" s="11"/>
      <c r="I58" s="18">
        <f>ROUND(ROUND((Source!CS26/IF(Source!BS26&lt;&gt;0,Source!BS26,1)*Source!I26),2)*1.75,2)</f>
        <v>0</v>
      </c>
      <c r="J58" s="11">
        <v>180</v>
      </c>
      <c r="K58" s="18">
        <f>ROUND(Source!R26*J58/100,2)</f>
        <v>0</v>
      </c>
    </row>
    <row r="59" spans="1:11" ht="12.75">
      <c r="A59" s="35"/>
      <c r="B59" s="35"/>
      <c r="C59" s="35" t="s">
        <v>231</v>
      </c>
      <c r="D59" s="35" t="s">
        <v>233</v>
      </c>
      <c r="E59" s="35">
        <f>Source!AQ26</f>
        <v>45.45</v>
      </c>
      <c r="F59" s="35"/>
      <c r="G59" s="36">
        <f>Source!DI26</f>
      </c>
      <c r="H59" s="35">
        <f>Source!AV26</f>
        <v>1.087</v>
      </c>
      <c r="I59" s="37">
        <f>ROUND(Source!U26,2)</f>
        <v>5.43</v>
      </c>
      <c r="J59" s="35"/>
      <c r="K59" s="35"/>
    </row>
    <row r="60" spans="9:24" ht="12.75">
      <c r="I60" s="38">
        <f>ROUND((Source!CT26/IF(Source!BA26&lt;&gt;0,Source!BA26,1)*Source!I26),2)+ROUND((Source!CR26/IF(Source!BB26&lt;&gt;0,Source!BB26,1)*Source!I26),2)+ROUND((Source!CQ26/IF(Source!BC26&lt;&gt;0,Source!BC26,1)*Source!I26),2)+SUM(I55:I58)</f>
        <v>397.59999999999997</v>
      </c>
      <c r="J60" s="12"/>
      <c r="K60" s="38">
        <f>Source!O26+SUM(K55:K58)</f>
        <v>2400.81</v>
      </c>
      <c r="L60">
        <f>ROUND((Source!CT26/IF(Source!BA26&lt;&gt;0,Source!BA26,1)*Source!I26),2)</f>
        <v>58.15</v>
      </c>
      <c r="M60" s="9">
        <f>I60</f>
        <v>397.59999999999997</v>
      </c>
      <c r="N60" s="9">
        <f>K60</f>
        <v>2400.81</v>
      </c>
      <c r="O60">
        <f>ROUND(IF(Source!BI26=1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167.43</v>
      </c>
      <c r="P60">
        <f>ROUND(IF(Source!BI26=2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0</v>
      </c>
      <c r="Q60">
        <f>ROUND(IF(Source!BI26=3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0</v>
      </c>
      <c r="R60">
        <f>ROUND(IF(Source!BI26=4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0</v>
      </c>
      <c r="U60">
        <f>IF(Source!BI26=1,Source!O26+Source!X26+Source!Y26+Source!R26*180/100,0)</f>
        <v>1935.89</v>
      </c>
      <c r="V60">
        <f>IF(Source!BI26=2,Source!O26+Source!X26+Source!Y26+Source!R26*180/100,0)</f>
        <v>0</v>
      </c>
      <c r="W60">
        <f>IF(Source!BI26=3,Source!O26+Source!X26+Source!Y26+Source!R26*180/100,0)</f>
        <v>0</v>
      </c>
      <c r="X60">
        <f>IF(Source!BI26=4,Source!O26+Source!X26+Source!Y26+Source!R26*180/100,0)</f>
        <v>0</v>
      </c>
    </row>
    <row r="61" spans="1:25" ht="36">
      <c r="A61" s="31" t="str">
        <f>Source!E28</f>
        <v>4</v>
      </c>
      <c r="B61" s="31" t="str">
        <f>Source!F28</f>
        <v>6.58-2-1</v>
      </c>
      <c r="C61" s="17" t="str">
        <f>Source!G28</f>
        <v>РАЗБОРКА ПОКРЫТИЙ КРОВЛИ ИЗ РУЛОННЫХ МАТЕРИАЛОВ В 1-3 СЛОЯ</v>
      </c>
      <c r="D61" s="32" t="str">
        <f>Source!H28</f>
        <v>100 м2</v>
      </c>
      <c r="E61" s="11">
        <f>ROUND(Source!I28,6)</f>
        <v>1.211</v>
      </c>
      <c r="F61" s="11"/>
      <c r="G61" s="11"/>
      <c r="H61" s="11"/>
      <c r="I61" s="11"/>
      <c r="J61" s="11"/>
      <c r="K61" s="11"/>
      <c r="Y61">
        <v>5</v>
      </c>
    </row>
    <row r="62" spans="1:11" ht="12.75">
      <c r="A62" s="11"/>
      <c r="B62" s="11"/>
      <c r="C62" s="11" t="s">
        <v>287</v>
      </c>
      <c r="D62" s="11"/>
      <c r="E62" s="11"/>
      <c r="F62" s="18">
        <f>Source!AO28</f>
        <v>191.34</v>
      </c>
      <c r="G62" s="33">
        <f>Source!DG28</f>
      </c>
      <c r="H62" s="11">
        <f>Source!AV28</f>
        <v>1.047</v>
      </c>
      <c r="I62" s="18">
        <f>ROUND((Source!CT28/IF(Source!BA28&lt;&gt;0,Source!BA28,1)*Source!I28),2)</f>
        <v>242.6</v>
      </c>
      <c r="J62" s="11">
        <f>Source!BA28</f>
        <v>14.18</v>
      </c>
      <c r="K62" s="18">
        <f>Source!S28</f>
        <v>3440.11</v>
      </c>
    </row>
    <row r="63" spans="1:11" ht="12.75">
      <c r="A63" s="11"/>
      <c r="B63" s="11"/>
      <c r="C63" s="11" t="s">
        <v>288</v>
      </c>
      <c r="D63" s="11"/>
      <c r="E63" s="11"/>
      <c r="F63" s="18">
        <f>Source!AM28</f>
        <v>0</v>
      </c>
      <c r="G63" s="33">
        <f>Source!DE28</f>
      </c>
      <c r="H63" s="11">
        <f>Source!AV28</f>
        <v>1.047</v>
      </c>
      <c r="I63" s="18">
        <f>ROUND((Source!CR28/IF(Source!BB28&lt;&gt;0,Source!BB28,1)*Source!I28),2)</f>
        <v>0</v>
      </c>
      <c r="J63" s="11">
        <f>Source!BB28</f>
        <v>1</v>
      </c>
      <c r="K63" s="18">
        <f>Source!Q28</f>
        <v>0</v>
      </c>
    </row>
    <row r="64" spans="1:12" ht="12.75">
      <c r="A64" s="11"/>
      <c r="B64" s="11"/>
      <c r="C64" s="11" t="s">
        <v>289</v>
      </c>
      <c r="D64" s="11"/>
      <c r="E64" s="11"/>
      <c r="F64" s="18">
        <f>Source!AN28</f>
        <v>0</v>
      </c>
      <c r="G64" s="33">
        <f>Source!DF28</f>
      </c>
      <c r="H64" s="11">
        <f>Source!AV28</f>
        <v>1.047</v>
      </c>
      <c r="I64" s="34" t="str">
        <f>CONCATENATE("(",TEXT(+ROUND((Source!CS28/IF(J64&lt;&gt;0,J64,1)*Source!I28),2),"0,00"),")")</f>
        <v>(0,00)</v>
      </c>
      <c r="J64" s="11">
        <f>Source!BS28</f>
        <v>14.18</v>
      </c>
      <c r="K64" s="34" t="str">
        <f>CONCATENATE("(",TEXT(+Source!R28,"0,00"),")")</f>
        <v>(0,00)</v>
      </c>
      <c r="L64">
        <f>ROUND(IF(J64&lt;&gt;0,Source!R28/J64,Source!R28),2)</f>
        <v>0</v>
      </c>
    </row>
    <row r="65" spans="1:11" ht="12.75">
      <c r="A65" s="11"/>
      <c r="B65" s="11"/>
      <c r="C65" s="11" t="s">
        <v>290</v>
      </c>
      <c r="D65" s="11"/>
      <c r="E65" s="11"/>
      <c r="F65" s="18">
        <f>Source!AL28</f>
        <v>0</v>
      </c>
      <c r="G65" s="11">
        <f>Source!DD28</f>
      </c>
      <c r="H65" s="11">
        <f>Source!AW28</f>
        <v>1</v>
      </c>
      <c r="I65" s="18">
        <f>ROUND((Source!CQ28/IF(Source!BC28&lt;&gt;0,Source!BC28,1)*Source!I28),2)</f>
        <v>0</v>
      </c>
      <c r="J65" s="11">
        <f>Source!BC28</f>
        <v>1</v>
      </c>
      <c r="K65" s="18">
        <f>Source!P28</f>
        <v>0</v>
      </c>
    </row>
    <row r="66" spans="1:11" ht="12.75">
      <c r="A66" s="11"/>
      <c r="B66" s="11"/>
      <c r="C66" s="11" t="s">
        <v>291</v>
      </c>
      <c r="D66" s="11" t="s">
        <v>232</v>
      </c>
      <c r="E66" s="11">
        <f>Source!DN28</f>
        <v>80</v>
      </c>
      <c r="F66" s="11"/>
      <c r="G66" s="11"/>
      <c r="H66" s="11"/>
      <c r="I66" s="18">
        <f>ROUND((E66/100)*ROUND((Source!CT28/IF(Source!BA28&lt;&gt;0,Source!BA28,1)*Source!I28),2),2)</f>
        <v>194.08</v>
      </c>
      <c r="J66" s="11">
        <f>Source!AT28</f>
        <v>72</v>
      </c>
      <c r="K66" s="18">
        <f>Source!X28</f>
        <v>2476.88</v>
      </c>
    </row>
    <row r="67" spans="1:11" ht="12.75">
      <c r="A67" s="11"/>
      <c r="B67" s="11"/>
      <c r="C67" s="11" t="s">
        <v>292</v>
      </c>
      <c r="D67" s="11" t="s">
        <v>232</v>
      </c>
      <c r="E67" s="11">
        <f>Source!DO28</f>
        <v>55</v>
      </c>
      <c r="F67" s="11"/>
      <c r="G67" s="11"/>
      <c r="H67" s="11"/>
      <c r="I67" s="18">
        <f>ROUND((E67/100)*ROUND((Source!CT28/IF(Source!BA28&lt;&gt;0,Source!BA28,1)*Source!I28),2),2)</f>
        <v>133.43</v>
      </c>
      <c r="J67" s="11">
        <f>Source!AU28</f>
        <v>44</v>
      </c>
      <c r="K67" s="18">
        <f>Source!Y28</f>
        <v>1513.65</v>
      </c>
    </row>
    <row r="68" spans="1:11" ht="12.75">
      <c r="A68" s="11"/>
      <c r="B68" s="11"/>
      <c r="C68" s="11" t="s">
        <v>293</v>
      </c>
      <c r="D68" s="11" t="s">
        <v>232</v>
      </c>
      <c r="E68" s="11">
        <v>175</v>
      </c>
      <c r="F68" s="11"/>
      <c r="G68" s="11"/>
      <c r="H68" s="11"/>
      <c r="I68" s="18">
        <f>ROUND(ROUND((Source!CS28/IF(Source!BS28&lt;&gt;0,Source!BS28,1)*Source!I28),2)*1.75,2)</f>
        <v>0</v>
      </c>
      <c r="J68" s="11">
        <v>180</v>
      </c>
      <c r="K68" s="18">
        <f>ROUND(Source!R28*J68/100,2)</f>
        <v>0</v>
      </c>
    </row>
    <row r="69" spans="1:11" ht="12.75">
      <c r="A69" s="35"/>
      <c r="B69" s="35"/>
      <c r="C69" s="35" t="s">
        <v>231</v>
      </c>
      <c r="D69" s="35" t="s">
        <v>233</v>
      </c>
      <c r="E69" s="35">
        <f>Source!AQ28</f>
        <v>17.41</v>
      </c>
      <c r="F69" s="35"/>
      <c r="G69" s="36">
        <f>Source!DI28</f>
      </c>
      <c r="H69" s="35">
        <f>Source!AV28</f>
        <v>1.047</v>
      </c>
      <c r="I69" s="37">
        <f>ROUND(Source!U28,2)</f>
        <v>22.07</v>
      </c>
      <c r="J69" s="35"/>
      <c r="K69" s="35"/>
    </row>
    <row r="70" spans="9:24" ht="12.75">
      <c r="I70" s="38">
        <f>ROUND((Source!CT28/IF(Source!BA28&lt;&gt;0,Source!BA28,1)*Source!I28),2)+ROUND((Source!CR28/IF(Source!BB28&lt;&gt;0,Source!BB28,1)*Source!I28),2)+ROUND((Source!CQ28/IF(Source!BC28&lt;&gt;0,Source!BC28,1)*Source!I28),2)+SUM(I66:I68)</f>
        <v>570.11</v>
      </c>
      <c r="J70" s="12"/>
      <c r="K70" s="38">
        <f>Source!O28+SUM(K66:K68)</f>
        <v>7430.64</v>
      </c>
      <c r="L70">
        <f>ROUND((Source!CT28/IF(Source!BA28&lt;&gt;0,Source!BA28,1)*Source!I28),2)</f>
        <v>242.6</v>
      </c>
      <c r="M70" s="9">
        <f>I70</f>
        <v>570.11</v>
      </c>
      <c r="N70" s="9">
        <f>K70</f>
        <v>7430.64</v>
      </c>
      <c r="O70">
        <f>ROUND(IF(Source!BI28=1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570.11</v>
      </c>
      <c r="P70">
        <f>ROUND(IF(Source!BI28=2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Q70">
        <f>ROUND(IF(Source!BI28=3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R70">
        <f>ROUND(IF(Source!BI28=4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U70">
        <f>IF(Source!BI28=1,Source!O28+Source!X28+Source!Y28+Source!R28*180/100,0)</f>
        <v>7430.639999999999</v>
      </c>
      <c r="V70">
        <f>IF(Source!BI28=2,Source!O28+Source!X28+Source!Y28+Source!R28*180/100,0)</f>
        <v>0</v>
      </c>
      <c r="W70">
        <f>IF(Source!BI28=3,Source!O28+Source!X28+Source!Y28+Source!R28*180/100,0)</f>
        <v>0</v>
      </c>
      <c r="X70">
        <f>IF(Source!BI28=4,Source!O28+Source!X28+Source!Y28+Source!R28*180/100,0)</f>
        <v>0</v>
      </c>
    </row>
    <row r="71" spans="1:25" ht="36">
      <c r="A71" s="31" t="str">
        <f>Source!E29</f>
        <v>5</v>
      </c>
      <c r="B71" s="31" t="str">
        <f>Source!F29</f>
        <v>6.58-25-2</v>
      </c>
      <c r="C71" s="17" t="str">
        <f>Source!G29</f>
        <v>СМЕНА ПОЯСКОВ, САНДРИКОВ, ОТЛИВОВ, КАРНИЗОВ ШИРИНОЙ ДО 0,7 М</v>
      </c>
      <c r="D71" s="32" t="str">
        <f>Source!H29</f>
        <v>100 м</v>
      </c>
      <c r="E71" s="11">
        <f>ROUND(Source!I29,6)</f>
        <v>0.61</v>
      </c>
      <c r="F71" s="11"/>
      <c r="G71" s="11"/>
      <c r="H71" s="11"/>
      <c r="I71" s="11"/>
      <c r="J71" s="11"/>
      <c r="K71" s="11"/>
      <c r="Y71">
        <v>6</v>
      </c>
    </row>
    <row r="72" spans="1:11" ht="12.75">
      <c r="A72" s="11"/>
      <c r="B72" s="11"/>
      <c r="C72" s="11" t="s">
        <v>287</v>
      </c>
      <c r="D72" s="11"/>
      <c r="E72" s="11"/>
      <c r="F72" s="18">
        <f>Source!AO29</f>
        <v>665.07</v>
      </c>
      <c r="G72" s="33">
        <f>Source!DG29</f>
      </c>
      <c r="H72" s="11">
        <f>Source!AV29</f>
        <v>1.087</v>
      </c>
      <c r="I72" s="18">
        <f>ROUND((Source!CT29/IF(Source!BA29&lt;&gt;0,Source!BA29,1)*Source!I29),2)</f>
        <v>440.99</v>
      </c>
      <c r="J72" s="11">
        <f>Source!BA29</f>
        <v>14.18</v>
      </c>
      <c r="K72" s="18">
        <f>Source!S29</f>
        <v>6253.21</v>
      </c>
    </row>
    <row r="73" spans="1:11" ht="12.75">
      <c r="A73" s="11"/>
      <c r="B73" s="11"/>
      <c r="C73" s="11" t="s">
        <v>288</v>
      </c>
      <c r="D73" s="11"/>
      <c r="E73" s="11"/>
      <c r="F73" s="18">
        <f>Source!AM29</f>
        <v>0</v>
      </c>
      <c r="G73" s="33">
        <f>Source!DE29</f>
      </c>
      <c r="H73" s="11">
        <f>Source!AV29</f>
        <v>1.087</v>
      </c>
      <c r="I73" s="18">
        <f>ROUND((Source!CR29/IF(Source!BB29&lt;&gt;0,Source!BB29,1)*Source!I29),2)</f>
        <v>0</v>
      </c>
      <c r="J73" s="11">
        <f>Source!BB29</f>
        <v>1</v>
      </c>
      <c r="K73" s="18">
        <f>Source!Q29</f>
        <v>0</v>
      </c>
    </row>
    <row r="74" spans="1:12" ht="12.75">
      <c r="A74" s="11"/>
      <c r="B74" s="11"/>
      <c r="C74" s="11" t="s">
        <v>289</v>
      </c>
      <c r="D74" s="11"/>
      <c r="E74" s="11"/>
      <c r="F74" s="18">
        <f>Source!AN29</f>
        <v>0</v>
      </c>
      <c r="G74" s="33">
        <f>Source!DF29</f>
      </c>
      <c r="H74" s="11">
        <f>Source!AV29</f>
        <v>1.087</v>
      </c>
      <c r="I74" s="34" t="str">
        <f>CONCATENATE("(",TEXT(+ROUND((Source!CS29/IF(J74&lt;&gt;0,J74,1)*Source!I29),2),"0,00"),")")</f>
        <v>(0,00)</v>
      </c>
      <c r="J74" s="11">
        <f>Source!BS29</f>
        <v>14.18</v>
      </c>
      <c r="K74" s="34" t="str">
        <f>CONCATENATE("(",TEXT(+Source!R29,"0,00"),")")</f>
        <v>(0,00)</v>
      </c>
      <c r="L74">
        <f>ROUND(IF(J74&lt;&gt;0,Source!R29/J74,Source!R29),2)</f>
        <v>0</v>
      </c>
    </row>
    <row r="75" spans="1:11" ht="12.75">
      <c r="A75" s="11"/>
      <c r="B75" s="11"/>
      <c r="C75" s="11" t="s">
        <v>290</v>
      </c>
      <c r="D75" s="11"/>
      <c r="E75" s="11"/>
      <c r="F75" s="18">
        <f>Source!AL29</f>
        <v>77.44</v>
      </c>
      <c r="G75" s="11">
        <f>Source!DD29</f>
      </c>
      <c r="H75" s="11">
        <f>Source!AW29</f>
        <v>1.001</v>
      </c>
      <c r="I75" s="18">
        <f>ROUND((Source!CQ29/IF(Source!BC29&lt;&gt;0,Source!BC29,1)*Source!I29),2)</f>
        <v>47.29</v>
      </c>
      <c r="J75" s="11">
        <f>Source!BC29</f>
        <v>4.91</v>
      </c>
      <c r="K75" s="18">
        <f>Source!P29</f>
        <v>232.17</v>
      </c>
    </row>
    <row r="76" spans="1:25" ht="36">
      <c r="A76" s="31" t="str">
        <f>Source!E30</f>
        <v>5,1</v>
      </c>
      <c r="B76" s="31" t="str">
        <f>Source!F30</f>
        <v>1.1-1-1079</v>
      </c>
      <c r="C76" s="17" t="str">
        <f>Source!G30</f>
        <v>СТАЛЬ ЛИСТОВАЯ, ОЦИНКОВАННАЯ, ТОЛЩИНА 0,5 ММ</v>
      </c>
      <c r="D76" s="32" t="str">
        <f>Source!H30</f>
        <v>т</v>
      </c>
      <c r="E76" s="11">
        <f>ROUND(Source!I30,6)</f>
        <v>0.198</v>
      </c>
      <c r="F76" s="18">
        <f>IF(Source!AL30=0,Source!AK30,Source!AL30)</f>
        <v>15328.48</v>
      </c>
      <c r="G76" s="33">
        <f>Source!DD30</f>
      </c>
      <c r="H76" s="11">
        <f>Source!AW30</f>
        <v>1.001</v>
      </c>
      <c r="I76" s="18">
        <f>ROUND((Source!CR30/IF(Source!BB30&lt;&gt;0,Source!BB30,1)*Source!I30),2)+ROUND((Source!CQ30/IF(Source!BC30&lt;&gt;0,Source!BC30,1)*Source!I30),2)+ROUND((Source!CT30/IF(Source!BA30&lt;&gt;0,Source!BA30,1)*Source!I30),2)</f>
        <v>3038.07</v>
      </c>
      <c r="J76" s="11">
        <f>Source!BC30</f>
        <v>2.02</v>
      </c>
      <c r="K76" s="18">
        <f>Source!O30+Source!X30+Source!Y30</f>
        <v>6136.91</v>
      </c>
      <c r="O76">
        <f>IF(Source!BI30=1,(ROUND((Source!CR30/IF(Source!BB30&lt;&gt;0,Source!BB30,1)*Source!I30),2)+ROUND((Source!CQ30/IF(Source!BC30&lt;&gt;0,Source!BC30,1)*Source!I30),2)+ROUND((Source!CT30/IF(Source!BA30&lt;&gt;0,Source!BA30,1)*Source!I30),2)),0)</f>
        <v>3038.07</v>
      </c>
      <c r="P76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76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76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U76">
        <f>IF(Source!BI30=1,Source!O30+Source!X30+Source!Y30,0)</f>
        <v>6136.91</v>
      </c>
      <c r="V76">
        <f>IF(Source!BI30=2,Source!O30+Source!X30+Source!Y30,0)</f>
        <v>0</v>
      </c>
      <c r="W76">
        <f>IF(Source!BI30=3,Source!O30+Source!X30+Source!Y30,0)</f>
        <v>0</v>
      </c>
      <c r="X76">
        <f>IF(Source!BI30=4,Source!O30+Source!X30+Source!Y30,0)</f>
        <v>0</v>
      </c>
      <c r="Y76">
        <v>7</v>
      </c>
    </row>
    <row r="77" spans="1:11" ht="12.75">
      <c r="A77" s="11"/>
      <c r="B77" s="11"/>
      <c r="C77" s="11" t="s">
        <v>291</v>
      </c>
      <c r="D77" s="11" t="s">
        <v>232</v>
      </c>
      <c r="E77" s="11">
        <f>Source!DN29</f>
        <v>104</v>
      </c>
      <c r="F77" s="11"/>
      <c r="G77" s="11"/>
      <c r="H77" s="11"/>
      <c r="I77" s="18">
        <f>ROUND((E77/100)*ROUND((Source!CT29/IF(Source!BA29&lt;&gt;0,Source!BA29,1)*Source!I29),2),2)</f>
        <v>458.63</v>
      </c>
      <c r="J77" s="11">
        <f>Source!AT29</f>
        <v>89</v>
      </c>
      <c r="K77" s="18">
        <f>Source!X29</f>
        <v>5565.36</v>
      </c>
    </row>
    <row r="78" spans="1:11" ht="12.75">
      <c r="A78" s="11"/>
      <c r="B78" s="11"/>
      <c r="C78" s="11" t="s">
        <v>292</v>
      </c>
      <c r="D78" s="11" t="s">
        <v>232</v>
      </c>
      <c r="E78" s="11">
        <f>Source!DO29</f>
        <v>79</v>
      </c>
      <c r="F78" s="11"/>
      <c r="G78" s="11"/>
      <c r="H78" s="11"/>
      <c r="I78" s="18">
        <f>ROUND((E78/100)*ROUND((Source!CT29/IF(Source!BA29&lt;&gt;0,Source!BA29,1)*Source!I29),2),2)</f>
        <v>348.38</v>
      </c>
      <c r="J78" s="11">
        <f>Source!AU29</f>
        <v>44</v>
      </c>
      <c r="K78" s="18">
        <f>Source!Y29</f>
        <v>2751.41</v>
      </c>
    </row>
    <row r="79" spans="1:11" ht="12.75">
      <c r="A79" s="11"/>
      <c r="B79" s="11"/>
      <c r="C79" s="11" t="s">
        <v>293</v>
      </c>
      <c r="D79" s="11" t="s">
        <v>232</v>
      </c>
      <c r="E79" s="11">
        <v>175</v>
      </c>
      <c r="F79" s="11"/>
      <c r="G79" s="11"/>
      <c r="H79" s="11"/>
      <c r="I79" s="18">
        <f>ROUND(ROUND((Source!CS29/IF(Source!BS29&lt;&gt;0,Source!BS29,1)*Source!I29),2)*1.75,2)</f>
        <v>0</v>
      </c>
      <c r="J79" s="11">
        <v>180</v>
      </c>
      <c r="K79" s="18">
        <f>ROUND(Source!R29*J79/100,2)</f>
        <v>0</v>
      </c>
    </row>
    <row r="80" spans="1:11" ht="12.75">
      <c r="A80" s="35"/>
      <c r="B80" s="35"/>
      <c r="C80" s="35" t="s">
        <v>231</v>
      </c>
      <c r="D80" s="35" t="s">
        <v>233</v>
      </c>
      <c r="E80" s="35">
        <f>Source!AQ29</f>
        <v>63.22</v>
      </c>
      <c r="F80" s="35"/>
      <c r="G80" s="36">
        <f>Source!DI29</f>
      </c>
      <c r="H80" s="35">
        <f>Source!AV29</f>
        <v>1.087</v>
      </c>
      <c r="I80" s="37">
        <f>ROUND(Source!U29,2)</f>
        <v>41.92</v>
      </c>
      <c r="J80" s="35"/>
      <c r="K80" s="35"/>
    </row>
    <row r="81" spans="9:24" ht="12.75">
      <c r="I81" s="38">
        <f>ROUND((Source!CT29/IF(Source!BA29&lt;&gt;0,Source!BA29,1)*Source!I29),2)+ROUND((Source!CR29/IF(Source!BB29&lt;&gt;0,Source!BB29,1)*Source!I29),2)+ROUND((Source!CQ29/IF(Source!BC29&lt;&gt;0,Source!BC29,1)*Source!I29),2)+SUM(I76:I79)</f>
        <v>4333.360000000001</v>
      </c>
      <c r="J81" s="12"/>
      <c r="K81" s="38">
        <f>Source!O29+SUM(K76:K79)</f>
        <v>20939.06</v>
      </c>
      <c r="L81">
        <f>ROUND((Source!CT29/IF(Source!BA29&lt;&gt;0,Source!BA29,1)*Source!I29),2)</f>
        <v>440.99</v>
      </c>
      <c r="M81" s="9">
        <f>I81</f>
        <v>4333.360000000001</v>
      </c>
      <c r="N81" s="9">
        <f>K81</f>
        <v>20939.06</v>
      </c>
      <c r="O81">
        <f>ROUND(IF(Source!BI29=1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1295.29</v>
      </c>
      <c r="P81">
        <f>ROUND(IF(Source!BI29=2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Q81">
        <f>ROUND(IF(Source!BI29=3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R81">
        <f>ROUND(IF(Source!BI29=4,(ROUND((Source!CT29/IF(Source!BA29&lt;&gt;0,Source!BA29,1)*Source!I29),2)+ROUND((Source!CR29/IF(Source!BB29&lt;&gt;0,Source!BB29,1)*Source!I29),2)+ROUND((Source!CQ29/IF(Source!BC29&lt;&gt;0,Source!BC29,1)*Source!I29),2)+((Source!DN29/100)*ROUND((Source!CT29/IF(Source!BA29&lt;&gt;0,Source!BA29,1)*Source!I29),2))+((Source!DO29/100)*ROUND((Source!CT29/IF(Source!BA29&lt;&gt;0,Source!BA29,1)*Source!I29),2))+(ROUND((Source!CS29/IF(Source!BS29&lt;&gt;0,Source!BS29,1)*Source!I29),2)*1.75)),0),2)</f>
        <v>0</v>
      </c>
      <c r="U81">
        <f>IF(Source!BI29=1,Source!O29+Source!X29+Source!Y29+Source!R29*180/100,0)</f>
        <v>14802.15</v>
      </c>
      <c r="V81">
        <f>IF(Source!BI29=2,Source!O29+Source!X29+Source!Y29+Source!R29*180/100,0)</f>
        <v>0</v>
      </c>
      <c r="W81">
        <f>IF(Source!BI29=3,Source!O29+Source!X29+Source!Y29+Source!R29*180/100,0)</f>
        <v>0</v>
      </c>
      <c r="X81">
        <f>IF(Source!BI29=4,Source!O29+Source!X29+Source!Y29+Source!R29*180/100,0)</f>
        <v>0</v>
      </c>
    </row>
    <row r="82" spans="1:25" ht="36">
      <c r="A82" s="31" t="str">
        <f>Source!E31</f>
        <v>6</v>
      </c>
      <c r="B82" s="31" t="str">
        <f>Source!F31</f>
        <v>6.58-26-1</v>
      </c>
      <c r="C82" s="17" t="str">
        <f>Source!G31</f>
        <v>СМЕНА КОЛПАКОВ НА ДЫМОВЫХ И ВЕНТИЛЯЦИОННЫХ ТРУБАХ (ТРУБА В ОДИН КАНАЛ)</v>
      </c>
      <c r="D82" s="32" t="str">
        <f>Source!H31</f>
        <v>10 шт.</v>
      </c>
      <c r="E82" s="11">
        <f>ROUND(Source!I31,6)</f>
        <v>0.1</v>
      </c>
      <c r="F82" s="11"/>
      <c r="G82" s="11"/>
      <c r="H82" s="11"/>
      <c r="I82" s="11"/>
      <c r="J82" s="11"/>
      <c r="K82" s="11"/>
      <c r="Y82">
        <v>8</v>
      </c>
    </row>
    <row r="83" spans="1:11" ht="12.75">
      <c r="A83" s="11"/>
      <c r="B83" s="11"/>
      <c r="C83" s="11" t="s">
        <v>287</v>
      </c>
      <c r="D83" s="11"/>
      <c r="E83" s="11"/>
      <c r="F83" s="18">
        <f>Source!AO31</f>
        <v>199.02</v>
      </c>
      <c r="G83" s="33">
        <f>Source!DG31</f>
      </c>
      <c r="H83" s="11">
        <f>Source!AV31</f>
        <v>1.087</v>
      </c>
      <c r="I83" s="18">
        <f>ROUND((Source!CT31/IF(Source!BA31&lt;&gt;0,Source!BA31,1)*Source!I31),2)</f>
        <v>21.63</v>
      </c>
      <c r="J83" s="11">
        <f>Source!BA31</f>
        <v>14.18</v>
      </c>
      <c r="K83" s="18">
        <f>Source!S31</f>
        <v>306.76</v>
      </c>
    </row>
    <row r="84" spans="1:11" ht="12.75">
      <c r="A84" s="11"/>
      <c r="B84" s="11"/>
      <c r="C84" s="11" t="s">
        <v>288</v>
      </c>
      <c r="D84" s="11"/>
      <c r="E84" s="11"/>
      <c r="F84" s="18">
        <f>Source!AM31</f>
        <v>0</v>
      </c>
      <c r="G84" s="33">
        <f>Source!DE31</f>
      </c>
      <c r="H84" s="11">
        <f>Source!AV31</f>
        <v>1.087</v>
      </c>
      <c r="I84" s="18">
        <f>ROUND((Source!CR31/IF(Source!BB31&lt;&gt;0,Source!BB31,1)*Source!I31),2)</f>
        <v>0</v>
      </c>
      <c r="J84" s="11">
        <f>Source!BB31</f>
        <v>1</v>
      </c>
      <c r="K84" s="18">
        <f>Source!Q31</f>
        <v>0</v>
      </c>
    </row>
    <row r="85" spans="1:12" ht="12.75">
      <c r="A85" s="11"/>
      <c r="B85" s="11"/>
      <c r="C85" s="11" t="s">
        <v>289</v>
      </c>
      <c r="D85" s="11"/>
      <c r="E85" s="11"/>
      <c r="F85" s="18">
        <f>Source!AN31</f>
        <v>0</v>
      </c>
      <c r="G85" s="33">
        <f>Source!DF31</f>
      </c>
      <c r="H85" s="11">
        <f>Source!AV31</f>
        <v>1.087</v>
      </c>
      <c r="I85" s="34" t="str">
        <f>CONCATENATE("(",TEXT(+ROUND((Source!CS31/IF(J85&lt;&gt;0,J85,1)*Source!I31),2),"0,00"),")")</f>
        <v>(0,00)</v>
      </c>
      <c r="J85" s="11">
        <f>Source!BS31</f>
        <v>14.18</v>
      </c>
      <c r="K85" s="34" t="str">
        <f>CONCATENATE("(",TEXT(+Source!R31,"0,00"),")")</f>
        <v>(0,00)</v>
      </c>
      <c r="L85">
        <f>ROUND(IF(J85&lt;&gt;0,Source!R31/J85,Source!R31),2)</f>
        <v>0</v>
      </c>
    </row>
    <row r="86" spans="1:11" ht="12.75">
      <c r="A86" s="11"/>
      <c r="B86" s="11"/>
      <c r="C86" s="11" t="s">
        <v>290</v>
      </c>
      <c r="D86" s="11"/>
      <c r="E86" s="11"/>
      <c r="F86" s="18">
        <f>Source!AL31</f>
        <v>0</v>
      </c>
      <c r="G86" s="11">
        <f>Source!DD31</f>
      </c>
      <c r="H86" s="11">
        <f>Source!AW31</f>
        <v>1.001</v>
      </c>
      <c r="I86" s="18">
        <f>ROUND((Source!CQ31/IF(Source!BC31&lt;&gt;0,Source!BC31,1)*Source!I31),2)</f>
        <v>0</v>
      </c>
      <c r="J86" s="11">
        <f>Source!BC31</f>
        <v>1</v>
      </c>
      <c r="K86" s="18">
        <f>Source!P31</f>
        <v>0</v>
      </c>
    </row>
    <row r="87" spans="1:25" ht="36">
      <c r="A87" s="31" t="str">
        <f>Source!E32</f>
        <v>6,1</v>
      </c>
      <c r="B87" s="31" t="str">
        <f>Source!F32</f>
        <v>1.1-1-1079</v>
      </c>
      <c r="C87" s="17" t="str">
        <f>Source!G32</f>
        <v>СТАЛЬ ЛИСТОВАЯ, ОЦИНКОВАННАЯ, ТОЛЩИНА 0,5 ММ</v>
      </c>
      <c r="D87" s="32" t="str">
        <f>Source!H32</f>
        <v>т</v>
      </c>
      <c r="E87" s="11">
        <f>ROUND(Source!I32,6)</f>
        <v>0.005</v>
      </c>
      <c r="F87" s="18">
        <f>IF(Source!AL32=0,Source!AK32,Source!AL32)</f>
        <v>15328.48</v>
      </c>
      <c r="G87" s="33">
        <f>Source!DD32</f>
      </c>
      <c r="H87" s="11">
        <f>Source!AW32</f>
        <v>1.001</v>
      </c>
      <c r="I87" s="18">
        <f>ROUND((Source!CR32/IF(Source!BB32&lt;&gt;0,Source!BB32,1)*Source!I32),2)+ROUND((Source!CQ32/IF(Source!BC32&lt;&gt;0,Source!BC32,1)*Source!I32),2)+ROUND((Source!CT32/IF(Source!BA32&lt;&gt;0,Source!BA32,1)*Source!I32),2)</f>
        <v>76.72</v>
      </c>
      <c r="J87" s="11">
        <f>Source!BC32</f>
        <v>2.02</v>
      </c>
      <c r="K87" s="18">
        <f>Source!O32+Source!X32+Source!Y32</f>
        <v>154.97</v>
      </c>
      <c r="O87">
        <f>IF(Source!BI32=1,(ROUND((Source!CR32/IF(Source!BB32&lt;&gt;0,Source!BB32,1)*Source!I32),2)+ROUND((Source!CQ32/IF(Source!BC32&lt;&gt;0,Source!BC32,1)*Source!I32),2)+ROUND((Source!CT32/IF(Source!BA32&lt;&gt;0,Source!BA32,1)*Source!I32),2)),0)</f>
        <v>76.72</v>
      </c>
      <c r="P87">
        <f>IF(Source!BI32=2,(ROUND((Source!CR32/IF(Source!BB32&lt;&gt;0,Source!BB32,1)*Source!I32),2)+ROUND((Source!CQ32/IF(Source!BC32&lt;&gt;0,Source!BC32,1)*Source!I32),2)+ROUND((Source!CT32/IF(Source!BA32&lt;&gt;0,Source!BA32,1)*Source!I32),2)),0)</f>
        <v>0</v>
      </c>
      <c r="Q87">
        <f>IF(Source!BI32=3,(ROUND((Source!CR32/IF(Source!BB32&lt;&gt;0,Source!BB32,1)*Source!I32),2)+ROUND((Source!CQ32/IF(Source!BC32&lt;&gt;0,Source!BC32,1)*Source!I32),2)+ROUND((Source!CT32/IF(Source!BA32&lt;&gt;0,Source!BA32,1)*Source!I32),2)),0)</f>
        <v>0</v>
      </c>
      <c r="R87">
        <f>IF(Source!BI32=4,(ROUND((Source!CR32/IF(Source!BB32&lt;&gt;0,Source!BB32,1)*Source!I32),2)+ROUND((Source!CQ32/IF(Source!BC32&lt;&gt;0,Source!BC32,1)*Source!I32),2)+ROUND((Source!CT32/IF(Source!BA32&lt;&gt;0,Source!BA32,1)*Source!I32),2)),0)</f>
        <v>0</v>
      </c>
      <c r="U87">
        <f>IF(Source!BI32=1,Source!O32+Source!X32+Source!Y32,0)</f>
        <v>154.97</v>
      </c>
      <c r="V87">
        <f>IF(Source!BI32=2,Source!O32+Source!X32+Source!Y32,0)</f>
        <v>0</v>
      </c>
      <c r="W87">
        <f>IF(Source!BI32=3,Source!O32+Source!X32+Source!Y32,0)</f>
        <v>0</v>
      </c>
      <c r="X87">
        <f>IF(Source!BI32=4,Source!O32+Source!X32+Source!Y32,0)</f>
        <v>0</v>
      </c>
      <c r="Y87">
        <v>9</v>
      </c>
    </row>
    <row r="88" spans="1:11" ht="12.75">
      <c r="A88" s="11"/>
      <c r="B88" s="11"/>
      <c r="C88" s="11" t="s">
        <v>291</v>
      </c>
      <c r="D88" s="11" t="s">
        <v>232</v>
      </c>
      <c r="E88" s="11">
        <f>Source!DN31</f>
        <v>104</v>
      </c>
      <c r="F88" s="11"/>
      <c r="G88" s="11"/>
      <c r="H88" s="11"/>
      <c r="I88" s="18">
        <f>ROUND((E88/100)*ROUND((Source!CT31/IF(Source!BA31&lt;&gt;0,Source!BA31,1)*Source!I31),2),2)</f>
        <v>22.5</v>
      </c>
      <c r="J88" s="11">
        <f>Source!AT31</f>
        <v>89</v>
      </c>
      <c r="K88" s="18">
        <f>Source!X31</f>
        <v>273.02</v>
      </c>
    </row>
    <row r="89" spans="1:11" ht="12.75">
      <c r="A89" s="11"/>
      <c r="B89" s="11"/>
      <c r="C89" s="11" t="s">
        <v>292</v>
      </c>
      <c r="D89" s="11" t="s">
        <v>232</v>
      </c>
      <c r="E89" s="11">
        <f>Source!DO31</f>
        <v>79</v>
      </c>
      <c r="F89" s="11"/>
      <c r="G89" s="11"/>
      <c r="H89" s="11"/>
      <c r="I89" s="18">
        <f>ROUND((E89/100)*ROUND((Source!CT31/IF(Source!BA31&lt;&gt;0,Source!BA31,1)*Source!I31),2),2)</f>
        <v>17.09</v>
      </c>
      <c r="J89" s="11">
        <f>Source!AU31</f>
        <v>44</v>
      </c>
      <c r="K89" s="18">
        <f>Source!Y31</f>
        <v>134.97</v>
      </c>
    </row>
    <row r="90" spans="1:11" ht="12.75">
      <c r="A90" s="11"/>
      <c r="B90" s="11"/>
      <c r="C90" s="11" t="s">
        <v>293</v>
      </c>
      <c r="D90" s="11" t="s">
        <v>232</v>
      </c>
      <c r="E90" s="11">
        <v>175</v>
      </c>
      <c r="F90" s="11"/>
      <c r="G90" s="11"/>
      <c r="H90" s="11"/>
      <c r="I90" s="18">
        <f>ROUND(ROUND((Source!CS31/IF(Source!BS31&lt;&gt;0,Source!BS31,1)*Source!I31),2)*1.75,2)</f>
        <v>0</v>
      </c>
      <c r="J90" s="11">
        <v>180</v>
      </c>
      <c r="K90" s="18">
        <f>ROUND(Source!R31*J90/100,2)</f>
        <v>0</v>
      </c>
    </row>
    <row r="91" spans="1:11" ht="12.75">
      <c r="A91" s="35"/>
      <c r="B91" s="35"/>
      <c r="C91" s="35" t="s">
        <v>231</v>
      </c>
      <c r="D91" s="35" t="s">
        <v>233</v>
      </c>
      <c r="E91" s="35">
        <f>Source!AQ31</f>
        <v>18.6</v>
      </c>
      <c r="F91" s="35"/>
      <c r="G91" s="36">
        <f>Source!DI31</f>
      </c>
      <c r="H91" s="35">
        <f>Source!AV31</f>
        <v>1.087</v>
      </c>
      <c r="I91" s="37">
        <f>ROUND(Source!U31,2)</f>
        <v>2.02</v>
      </c>
      <c r="J91" s="35"/>
      <c r="K91" s="35"/>
    </row>
    <row r="92" spans="9:24" ht="12.75">
      <c r="I92" s="38">
        <f>ROUND((Source!CT31/IF(Source!BA31&lt;&gt;0,Source!BA31,1)*Source!I31),2)+ROUND((Source!CR31/IF(Source!BB31&lt;&gt;0,Source!BB31,1)*Source!I31),2)+ROUND((Source!CQ31/IF(Source!BC31&lt;&gt;0,Source!BC31,1)*Source!I31),2)+SUM(I87:I90)</f>
        <v>137.94</v>
      </c>
      <c r="J92" s="12"/>
      <c r="K92" s="38">
        <f>Source!O31+SUM(K87:K90)</f>
        <v>869.72</v>
      </c>
      <c r="L92">
        <f>ROUND((Source!CT31/IF(Source!BA31&lt;&gt;0,Source!BA31,1)*Source!I31),2)</f>
        <v>21.63</v>
      </c>
      <c r="M92" s="9">
        <f>I92</f>
        <v>137.94</v>
      </c>
      <c r="N92" s="9">
        <f>K92</f>
        <v>869.72</v>
      </c>
      <c r="O92">
        <f>ROUND(IF(Source!BI31=1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61.21</v>
      </c>
      <c r="P92">
        <f>ROUND(IF(Source!BI31=2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Q92">
        <f>ROUND(IF(Source!BI31=3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R92">
        <f>ROUND(IF(Source!BI31=4,(ROUND((Source!CT31/IF(Source!BA31&lt;&gt;0,Source!BA31,1)*Source!I31),2)+ROUND((Source!CR31/IF(Source!BB31&lt;&gt;0,Source!BB31,1)*Source!I31),2)+ROUND((Source!CQ31/IF(Source!BC31&lt;&gt;0,Source!BC31,1)*Source!I31),2)+((Source!DN31/100)*ROUND((Source!CT31/IF(Source!BA31&lt;&gt;0,Source!BA31,1)*Source!I31),2))+((Source!DO31/100)*ROUND((Source!CT31/IF(Source!BA31&lt;&gt;0,Source!BA31,1)*Source!I31),2))+(ROUND((Source!CS31/IF(Source!BS31&lt;&gt;0,Source!BS31,1)*Source!I31),2)*1.75)),0),2)</f>
        <v>0</v>
      </c>
      <c r="U92">
        <f>IF(Source!BI31=1,Source!O31+Source!X31+Source!Y31+Source!R31*180/100,0)</f>
        <v>714.75</v>
      </c>
      <c r="V92">
        <f>IF(Source!BI31=2,Source!O31+Source!X31+Source!Y31+Source!R31*180/100,0)</f>
        <v>0</v>
      </c>
      <c r="W92">
        <f>IF(Source!BI31=3,Source!O31+Source!X31+Source!Y31+Source!R31*180/100,0)</f>
        <v>0</v>
      </c>
      <c r="X92">
        <f>IF(Source!BI31=4,Source!O31+Source!X31+Source!Y31+Source!R31*180/100,0)</f>
        <v>0</v>
      </c>
    </row>
    <row r="93" spans="1:25" ht="36">
      <c r="A93" s="31" t="str">
        <f>Source!E33</f>
        <v>7</v>
      </c>
      <c r="B93" s="31" t="str">
        <f>Source!F33</f>
        <v>6.58-31-3</v>
      </c>
      <c r="C93" s="17" t="str">
        <f>Source!G33</f>
        <v>РЕМОНТ ЦЕМЕНТНОЙ СТЯЖКИ ОТДЕЛЬНЫМИ МЕСТАМИ, ПЛОЩАДЬ ЗАДЕЛКИ, М2, ДО: 1,0</v>
      </c>
      <c r="D93" s="32" t="str">
        <f>Source!H33</f>
        <v>100 мест</v>
      </c>
      <c r="E93" s="11">
        <f>ROUND(Source!I33,6)</f>
        <v>2.09</v>
      </c>
      <c r="F93" s="11"/>
      <c r="G93" s="11"/>
      <c r="H93" s="11"/>
      <c r="I93" s="11"/>
      <c r="J93" s="11"/>
      <c r="K93" s="11"/>
      <c r="Y93">
        <v>10</v>
      </c>
    </row>
    <row r="94" spans="1:11" ht="12.75">
      <c r="A94" s="11"/>
      <c r="B94" s="11"/>
      <c r="C94" s="11" t="s">
        <v>287</v>
      </c>
      <c r="D94" s="11"/>
      <c r="E94" s="11"/>
      <c r="F94" s="18">
        <f>Source!AO33</f>
        <v>1311.93</v>
      </c>
      <c r="G94" s="33">
        <f>Source!DG33</f>
      </c>
      <c r="H94" s="11">
        <f>Source!AV33</f>
        <v>1.087</v>
      </c>
      <c r="I94" s="18">
        <f>ROUND((Source!CT33/IF(Source!BA33&lt;&gt;0,Source!BA33,1)*Source!I33),2)</f>
        <v>2980.48</v>
      </c>
      <c r="J94" s="11">
        <f>Source!BA33</f>
        <v>14.18</v>
      </c>
      <c r="K94" s="18">
        <f>Source!S33</f>
        <v>42263.23</v>
      </c>
    </row>
    <row r="95" spans="1:11" ht="12.75">
      <c r="A95" s="11"/>
      <c r="B95" s="11"/>
      <c r="C95" s="11" t="s">
        <v>288</v>
      </c>
      <c r="D95" s="11"/>
      <c r="E95" s="11"/>
      <c r="F95" s="18">
        <f>Source!AM33</f>
        <v>54.8</v>
      </c>
      <c r="G95" s="33">
        <f>Source!DE33</f>
      </c>
      <c r="H95" s="11">
        <f>Source!AV33</f>
        <v>1.087</v>
      </c>
      <c r="I95" s="18">
        <f>ROUND((Source!CR33/IF(Source!BB33&lt;&gt;0,Source!BB33,1)*Source!I33),2)</f>
        <v>124.5</v>
      </c>
      <c r="J95" s="11">
        <f>Source!BB33</f>
        <v>6.98</v>
      </c>
      <c r="K95" s="18">
        <f>Source!Q33</f>
        <v>868.98</v>
      </c>
    </row>
    <row r="96" spans="1:12" ht="12.75">
      <c r="A96" s="11"/>
      <c r="B96" s="11"/>
      <c r="C96" s="11" t="s">
        <v>289</v>
      </c>
      <c r="D96" s="11"/>
      <c r="E96" s="11"/>
      <c r="F96" s="18">
        <f>Source!AN33</f>
        <v>16.7</v>
      </c>
      <c r="G96" s="33">
        <f>Source!DF33</f>
      </c>
      <c r="H96" s="11">
        <f>Source!AV33</f>
        <v>1.087</v>
      </c>
      <c r="I96" s="34" t="str">
        <f>CONCATENATE("(",TEXT(+ROUND((Source!CS33/IF(J96&lt;&gt;0,J96,1)*Source!I33),2),"0,00"),")")</f>
        <v>(37,94)</v>
      </c>
      <c r="J96" s="11">
        <f>Source!BS33</f>
        <v>14.18</v>
      </c>
      <c r="K96" s="34" t="str">
        <f>CONCATENATE("(",TEXT(+Source!R33,"0,00"),")")</f>
        <v>(537,98)</v>
      </c>
      <c r="L96">
        <f>ROUND(IF(J96&lt;&gt;0,Source!R33/J96,Source!R33),2)</f>
        <v>37.94</v>
      </c>
    </row>
    <row r="97" spans="1:11" ht="12.75">
      <c r="A97" s="11"/>
      <c r="B97" s="11"/>
      <c r="C97" s="11" t="s">
        <v>290</v>
      </c>
      <c r="D97" s="11"/>
      <c r="E97" s="11"/>
      <c r="F97" s="18">
        <f>Source!AL33</f>
        <v>972.06</v>
      </c>
      <c r="G97" s="11">
        <f>Source!DD33</f>
      </c>
      <c r="H97" s="11">
        <f>Source!AW33</f>
        <v>1.001</v>
      </c>
      <c r="I97" s="18">
        <f>ROUND((Source!CQ33/IF(Source!BC33&lt;&gt;0,Source!BC33,1)*Source!I33),2)</f>
        <v>2033.64</v>
      </c>
      <c r="J97" s="11">
        <f>Source!BC33</f>
        <v>6.12</v>
      </c>
      <c r="K97" s="18">
        <f>Source!P33</f>
        <v>12445.86</v>
      </c>
    </row>
    <row r="98" spans="1:11" ht="12.75">
      <c r="A98" s="11"/>
      <c r="B98" s="11"/>
      <c r="C98" s="11" t="s">
        <v>291</v>
      </c>
      <c r="D98" s="11" t="s">
        <v>232</v>
      </c>
      <c r="E98" s="11">
        <f>Source!DN33</f>
        <v>104</v>
      </c>
      <c r="F98" s="11"/>
      <c r="G98" s="11"/>
      <c r="H98" s="11"/>
      <c r="I98" s="18">
        <f>ROUND((E98/100)*ROUND((Source!CT33/IF(Source!BA33&lt;&gt;0,Source!BA33,1)*Source!I33),2),2)</f>
        <v>3099.7</v>
      </c>
      <c r="J98" s="11">
        <f>Source!AT33</f>
        <v>89</v>
      </c>
      <c r="K98" s="18">
        <f>Source!X33</f>
        <v>37614.27</v>
      </c>
    </row>
    <row r="99" spans="1:11" ht="12.75">
      <c r="A99" s="11"/>
      <c r="B99" s="11"/>
      <c r="C99" s="11" t="s">
        <v>292</v>
      </c>
      <c r="D99" s="11" t="s">
        <v>232</v>
      </c>
      <c r="E99" s="11">
        <f>Source!DO33</f>
        <v>79</v>
      </c>
      <c r="F99" s="11"/>
      <c r="G99" s="11"/>
      <c r="H99" s="11"/>
      <c r="I99" s="18">
        <f>ROUND((E99/100)*ROUND((Source!CT33/IF(Source!BA33&lt;&gt;0,Source!BA33,1)*Source!I33),2),2)</f>
        <v>2354.58</v>
      </c>
      <c r="J99" s="11">
        <f>Source!AU33</f>
        <v>44</v>
      </c>
      <c r="K99" s="18">
        <f>Source!Y33</f>
        <v>18595.82</v>
      </c>
    </row>
    <row r="100" spans="1:11" ht="12.75">
      <c r="A100" s="11"/>
      <c r="B100" s="11"/>
      <c r="C100" s="11" t="s">
        <v>293</v>
      </c>
      <c r="D100" s="11" t="s">
        <v>232</v>
      </c>
      <c r="E100" s="11">
        <v>175</v>
      </c>
      <c r="F100" s="11"/>
      <c r="G100" s="11"/>
      <c r="H100" s="11"/>
      <c r="I100" s="18">
        <f>ROUND(ROUND((Source!CS33/IF(Source!BS33&lt;&gt;0,Source!BS33,1)*Source!I33),2)*1.75,2)</f>
        <v>66.4</v>
      </c>
      <c r="J100" s="11">
        <v>180</v>
      </c>
      <c r="K100" s="18">
        <f>ROUND(Source!R33*J100/100,2)</f>
        <v>968.36</v>
      </c>
    </row>
    <row r="101" spans="1:11" ht="12.75">
      <c r="A101" s="35"/>
      <c r="B101" s="35"/>
      <c r="C101" s="35" t="s">
        <v>231</v>
      </c>
      <c r="D101" s="35" t="s">
        <v>233</v>
      </c>
      <c r="E101" s="35">
        <f>Source!AQ33</f>
        <v>113</v>
      </c>
      <c r="F101" s="35"/>
      <c r="G101" s="36">
        <f>Source!DI33</f>
      </c>
      <c r="H101" s="35">
        <f>Source!AV33</f>
        <v>1.087</v>
      </c>
      <c r="I101" s="37">
        <f>ROUND(Source!U33,2)</f>
        <v>256.72</v>
      </c>
      <c r="J101" s="35"/>
      <c r="K101" s="35"/>
    </row>
    <row r="102" spans="9:24" ht="12.75">
      <c r="I102" s="38">
        <f>ROUND((Source!CT33/IF(Source!BA33&lt;&gt;0,Source!BA33,1)*Source!I33),2)+ROUND((Source!CR33/IF(Source!BB33&lt;&gt;0,Source!BB33,1)*Source!I33),2)+ROUND((Source!CQ33/IF(Source!BC33&lt;&gt;0,Source!BC33,1)*Source!I33),2)+SUM(I98:I100)</f>
        <v>10659.3</v>
      </c>
      <c r="J102" s="12"/>
      <c r="K102" s="38">
        <f>Source!O33+SUM(K98:K100)</f>
        <v>112756.51999999999</v>
      </c>
      <c r="L102">
        <f>ROUND((Source!CT33/IF(Source!BA33&lt;&gt;0,Source!BA33,1)*Source!I33),2)</f>
        <v>2980.48</v>
      </c>
      <c r="M102" s="9">
        <f>I102</f>
        <v>10659.3</v>
      </c>
      <c r="N102" s="9">
        <f>K102</f>
        <v>112756.51999999999</v>
      </c>
      <c r="O102">
        <f>ROUND(IF(Source!BI33=1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10659.29</v>
      </c>
      <c r="P102">
        <f>ROUND(IF(Source!BI33=2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Q102">
        <f>ROUND(IF(Source!BI33=3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R102">
        <f>ROUND(IF(Source!BI33=4,(ROUND((Source!CT33/IF(Source!BA33&lt;&gt;0,Source!BA33,1)*Source!I33),2)+ROUND((Source!CR33/IF(Source!BB33&lt;&gt;0,Source!BB33,1)*Source!I33),2)+ROUND((Source!CQ33/IF(Source!BC33&lt;&gt;0,Source!BC33,1)*Source!I33),2)+((Source!DN33/100)*ROUND((Source!CT33/IF(Source!BA33&lt;&gt;0,Source!BA33,1)*Source!I33),2))+((Source!DO33/100)*ROUND((Source!CT33/IF(Source!BA33&lt;&gt;0,Source!BA33,1)*Source!I33),2))+(ROUND((Source!CS33/IF(Source!BS33&lt;&gt;0,Source!BS33,1)*Source!I33),2)*1.75)),0),2)</f>
        <v>0</v>
      </c>
      <c r="U102">
        <f>IF(Source!BI33=1,Source!O33+Source!X33+Source!Y33+Source!R33*180/100,0)</f>
        <v>112756.524</v>
      </c>
      <c r="V102">
        <f>IF(Source!BI33=2,Source!O33+Source!X33+Source!Y33+Source!R33*180/100,0)</f>
        <v>0</v>
      </c>
      <c r="W102">
        <f>IF(Source!BI33=3,Source!O33+Source!X33+Source!Y33+Source!R33*180/100,0)</f>
        <v>0</v>
      </c>
      <c r="X102">
        <f>IF(Source!BI33=4,Source!O33+Source!X33+Source!Y33+Source!R33*180/100,0)</f>
        <v>0</v>
      </c>
    </row>
    <row r="103" spans="1:25" ht="48">
      <c r="A103" s="31" t="str">
        <f>Source!E34</f>
        <v>8</v>
      </c>
      <c r="B103" s="31" t="str">
        <f>Source!F34</f>
        <v>3.12-3-4</v>
      </c>
      <c r="C103" s="17" t="str">
        <f>Source!G34</f>
        <v>УСТРОЙСТВО РУЛОННОГО ПОКРЫТИЯ В ДВА СЛОЯ ИЗ НАПЛАВЛЯЕМОГО МАТЕРИАЛА ТИПА "ФИЛИЗОЛ", "ИЗОПЛАСТ"</v>
      </c>
      <c r="D103" s="32" t="str">
        <f>Source!H34</f>
        <v>100 м2</v>
      </c>
      <c r="E103" s="11">
        <f>ROUND(Source!I34,6)</f>
        <v>6.962</v>
      </c>
      <c r="F103" s="11"/>
      <c r="G103" s="11"/>
      <c r="H103" s="11"/>
      <c r="I103" s="11"/>
      <c r="J103" s="11"/>
      <c r="K103" s="11"/>
      <c r="Y103">
        <v>11</v>
      </c>
    </row>
    <row r="104" spans="1:11" ht="12.75">
      <c r="A104" s="11"/>
      <c r="B104" s="11"/>
      <c r="C104" s="11" t="s">
        <v>287</v>
      </c>
      <c r="D104" s="11"/>
      <c r="E104" s="11"/>
      <c r="F104" s="18">
        <f>Source!AO34</f>
        <v>689</v>
      </c>
      <c r="G104" s="33" t="str">
        <f>Source!DG34</f>
        <v>*1,15</v>
      </c>
      <c r="H104" s="11">
        <f>Source!AV34</f>
        <v>1.087</v>
      </c>
      <c r="I104" s="18">
        <f>ROUND((Source!CT34/IF(Source!BA34&lt;&gt;0,Source!BA34,1)*Source!I34),2)</f>
        <v>5996.26</v>
      </c>
      <c r="J104" s="11">
        <f>Source!BA34</f>
        <v>14.18</v>
      </c>
      <c r="K104" s="18">
        <f>Source!S34</f>
        <v>85027</v>
      </c>
    </row>
    <row r="105" spans="1:11" ht="12.75">
      <c r="A105" s="11"/>
      <c r="B105" s="11"/>
      <c r="C105" s="11" t="s">
        <v>288</v>
      </c>
      <c r="D105" s="11"/>
      <c r="E105" s="11"/>
      <c r="F105" s="18">
        <f>Source!AM34</f>
        <v>267.17</v>
      </c>
      <c r="G105" s="33" t="str">
        <f>Source!DE34</f>
        <v>*1,25</v>
      </c>
      <c r="H105" s="11">
        <f>Source!AV34</f>
        <v>1.087</v>
      </c>
      <c r="I105" s="18">
        <f>ROUND((Source!CR34/IF(Source!BB34&lt;&gt;0,Source!BB34,1)*Source!I34),2)</f>
        <v>2527.33</v>
      </c>
      <c r="J105" s="11">
        <f>Source!BB34</f>
        <v>7.36</v>
      </c>
      <c r="K105" s="18">
        <f>Source!Q34</f>
        <v>18601.12</v>
      </c>
    </row>
    <row r="106" spans="1:12" ht="12.75">
      <c r="A106" s="11"/>
      <c r="B106" s="11"/>
      <c r="C106" s="11" t="s">
        <v>289</v>
      </c>
      <c r="D106" s="11"/>
      <c r="E106" s="11"/>
      <c r="F106" s="18">
        <f>Source!AN34</f>
        <v>71.07</v>
      </c>
      <c r="G106" s="33" t="str">
        <f>Source!DF34</f>
        <v>*1,25</v>
      </c>
      <c r="H106" s="11">
        <f>Source!AV34</f>
        <v>1.087</v>
      </c>
      <c r="I106" s="34" t="str">
        <f>CONCATENATE("(",TEXT(+ROUND((Source!CS34/IF(J106&lt;&gt;0,J106,1)*Source!I34),2),"0,00"),")")</f>
        <v>(672,30)</v>
      </c>
      <c r="J106" s="11">
        <f>Source!BS34</f>
        <v>14.18</v>
      </c>
      <c r="K106" s="34" t="str">
        <f>CONCATENATE("(",TEXT(+Source!R34,"0,00"),")")</f>
        <v>(9533,14)</v>
      </c>
      <c r="L106">
        <f>ROUND(IF(J106&lt;&gt;0,Source!R34/J106,Source!R34),2)</f>
        <v>672.29</v>
      </c>
    </row>
    <row r="107" spans="1:11" ht="12.75">
      <c r="A107" s="11"/>
      <c r="B107" s="11"/>
      <c r="C107" s="11" t="s">
        <v>290</v>
      </c>
      <c r="D107" s="11"/>
      <c r="E107" s="11"/>
      <c r="F107" s="18">
        <f>Source!AL34</f>
        <v>705.14</v>
      </c>
      <c r="G107" s="11">
        <f>Source!DD34</f>
      </c>
      <c r="H107" s="11">
        <f>Source!AW34</f>
        <v>1.001</v>
      </c>
      <c r="I107" s="18">
        <f>ROUND((Source!CQ34/IF(Source!BC34&lt;&gt;0,Source!BC34,1)*Source!I34),2)</f>
        <v>4914.09</v>
      </c>
      <c r="J107" s="11">
        <f>Source!BC34</f>
        <v>4.6</v>
      </c>
      <c r="K107" s="18">
        <f>Source!P34</f>
        <v>22604.83</v>
      </c>
    </row>
    <row r="108" spans="1:25" ht="36">
      <c r="A108" s="31" t="str">
        <f>Source!E35</f>
        <v>8,1</v>
      </c>
      <c r="B108" s="31" t="str">
        <f>Source!F35</f>
        <v>1.1-1-1312</v>
      </c>
      <c r="C108" s="17" t="str">
        <f>Source!G35</f>
        <v>МАТЕРИАЛ РУЛОННЫЙ КРОВЕЛЬНЫЙ, ФИЛИЗОЛ, МАРКА 'В'</v>
      </c>
      <c r="D108" s="32" t="str">
        <f>Source!H35</f>
        <v>м2</v>
      </c>
      <c r="E108" s="11">
        <f>ROUND(Source!I35,6)</f>
        <v>939.87</v>
      </c>
      <c r="F108" s="18">
        <f>IF(Source!AL35=0,Source!AK35,Source!AL35)</f>
        <v>25.09</v>
      </c>
      <c r="G108" s="33">
        <f>Source!DD35</f>
      </c>
      <c r="H108" s="11">
        <f>Source!AW35</f>
        <v>1.001</v>
      </c>
      <c r="I108" s="18">
        <f>ROUND((Source!CR35/IF(Source!BB35&lt;&gt;0,Source!BB35,1)*Source!I35),2)+ROUND((Source!CQ35/IF(Source!BC35&lt;&gt;0,Source!BC35,1)*Source!I35),2)+ROUND((Source!CT35/IF(Source!BA35&lt;&gt;0,Source!BA35,1)*Source!I35),2)</f>
        <v>23604.92</v>
      </c>
      <c r="J108" s="11">
        <f>Source!BC35</f>
        <v>5.98</v>
      </c>
      <c r="K108" s="18">
        <f>Source!O35+Source!X35+Source!Y35</f>
        <v>141157.42</v>
      </c>
      <c r="O108">
        <f>IF(Source!BI35=1,(ROUND((Source!CR35/IF(Source!BB35&lt;&gt;0,Source!BB35,1)*Source!I35),2)+ROUND((Source!CQ35/IF(Source!BC35&lt;&gt;0,Source!BC35,1)*Source!I35),2)+ROUND((Source!CT35/IF(Source!BA35&lt;&gt;0,Source!BA35,1)*Source!I35),2)),0)</f>
        <v>23604.92</v>
      </c>
      <c r="P108">
        <f>IF(Source!BI35=2,(ROUND((Source!CR35/IF(Source!BB35&lt;&gt;0,Source!BB35,1)*Source!I35),2)+ROUND((Source!CQ35/IF(Source!BC35&lt;&gt;0,Source!BC35,1)*Source!I35),2)+ROUND((Source!CT35/IF(Source!BA35&lt;&gt;0,Source!BA35,1)*Source!I35),2)),0)</f>
        <v>0</v>
      </c>
      <c r="Q108">
        <f>IF(Source!BI35=3,(ROUND((Source!CR35/IF(Source!BB35&lt;&gt;0,Source!BB35,1)*Source!I35),2)+ROUND((Source!CQ35/IF(Source!BC35&lt;&gt;0,Source!BC35,1)*Source!I35),2)+ROUND((Source!CT35/IF(Source!BA35&lt;&gt;0,Source!BA35,1)*Source!I35),2)),0)</f>
        <v>0</v>
      </c>
      <c r="R108">
        <f>IF(Source!BI35=4,(ROUND((Source!CR35/IF(Source!BB35&lt;&gt;0,Source!BB35,1)*Source!I35),2)+ROUND((Source!CQ35/IF(Source!BC35&lt;&gt;0,Source!BC35,1)*Source!I35),2)+ROUND((Source!CT35/IF(Source!BA35&lt;&gt;0,Source!BA35,1)*Source!I35),2)),0)</f>
        <v>0</v>
      </c>
      <c r="U108">
        <f>IF(Source!BI35=1,Source!O35+Source!X35+Source!Y35,0)</f>
        <v>141157.42</v>
      </c>
      <c r="V108">
        <f>IF(Source!BI35=2,Source!O35+Source!X35+Source!Y35,0)</f>
        <v>0</v>
      </c>
      <c r="W108">
        <f>IF(Source!BI35=3,Source!O35+Source!X35+Source!Y35,0)</f>
        <v>0</v>
      </c>
      <c r="X108">
        <f>IF(Source!BI35=4,Source!O35+Source!X35+Source!Y35,0)</f>
        <v>0</v>
      </c>
      <c r="Y108">
        <v>12</v>
      </c>
    </row>
    <row r="109" spans="1:25" ht="36">
      <c r="A109" s="31" t="str">
        <f>Source!E36</f>
        <v>8,2</v>
      </c>
      <c r="B109" s="31" t="str">
        <f>Source!F36</f>
        <v>1.1-1-1313</v>
      </c>
      <c r="C109" s="17" t="str">
        <f>Source!G36</f>
        <v>МАТЕРИАЛ РУЛОННЫЙ КРОВЕЛЬНЫЙ, ФИЛИЗОЛ, МАРКА 'Н'</v>
      </c>
      <c r="D109" s="32" t="str">
        <f>Source!H36</f>
        <v>м2</v>
      </c>
      <c r="E109" s="11">
        <f>ROUND(Source!I36,6)</f>
        <v>921.073</v>
      </c>
      <c r="F109" s="18">
        <f>IF(Source!AL36=0,Source!AK36,Source!AL36)</f>
        <v>23.06</v>
      </c>
      <c r="G109" s="33">
        <f>Source!DD36</f>
      </c>
      <c r="H109" s="11">
        <f>Source!AW36</f>
        <v>1.001</v>
      </c>
      <c r="I109" s="18">
        <f>ROUND((Source!CR36/IF(Source!BB36&lt;&gt;0,Source!BB36,1)*Source!I36),2)+ROUND((Source!CQ36/IF(Source!BC36&lt;&gt;0,Source!BC36,1)*Source!I36),2)+ROUND((Source!CT36/IF(Source!BA36&lt;&gt;0,Source!BA36,1)*Source!I36),2)</f>
        <v>21261.18</v>
      </c>
      <c r="J109" s="11">
        <f>Source!BC36</f>
        <v>5.96</v>
      </c>
      <c r="K109" s="18">
        <f>Source!O36+Source!X36+Source!Y36</f>
        <v>126716.65</v>
      </c>
      <c r="O109">
        <f>IF(Source!BI36=1,(ROUND((Source!CR36/IF(Source!BB36&lt;&gt;0,Source!BB36,1)*Source!I36),2)+ROUND((Source!CQ36/IF(Source!BC36&lt;&gt;0,Source!BC36,1)*Source!I36),2)+ROUND((Source!CT36/IF(Source!BA36&lt;&gt;0,Source!BA36,1)*Source!I36),2)),0)</f>
        <v>21261.18</v>
      </c>
      <c r="P109">
        <f>IF(Source!BI36=2,(ROUND((Source!CR36/IF(Source!BB36&lt;&gt;0,Source!BB36,1)*Source!I36),2)+ROUND((Source!CQ36/IF(Source!BC36&lt;&gt;0,Source!BC36,1)*Source!I36),2)+ROUND((Source!CT36/IF(Source!BA36&lt;&gt;0,Source!BA36,1)*Source!I36),2)),0)</f>
        <v>0</v>
      </c>
      <c r="Q109">
        <f>IF(Source!BI36=3,(ROUND((Source!CR36/IF(Source!BB36&lt;&gt;0,Source!BB36,1)*Source!I36),2)+ROUND((Source!CQ36/IF(Source!BC36&lt;&gt;0,Source!BC36,1)*Source!I36),2)+ROUND((Source!CT36/IF(Source!BA36&lt;&gt;0,Source!BA36,1)*Source!I36),2)),0)</f>
        <v>0</v>
      </c>
      <c r="R109">
        <f>IF(Source!BI36=4,(ROUND((Source!CR36/IF(Source!BB36&lt;&gt;0,Source!BB36,1)*Source!I36),2)+ROUND((Source!CQ36/IF(Source!BC36&lt;&gt;0,Source!BC36,1)*Source!I36),2)+ROUND((Source!CT36/IF(Source!BA36&lt;&gt;0,Source!BA36,1)*Source!I36),2)),0)</f>
        <v>0</v>
      </c>
      <c r="U109">
        <f>IF(Source!BI36=1,Source!O36+Source!X36+Source!Y36,0)</f>
        <v>126716.65</v>
      </c>
      <c r="V109">
        <f>IF(Source!BI36=2,Source!O36+Source!X36+Source!Y36,0)</f>
        <v>0</v>
      </c>
      <c r="W109">
        <f>IF(Source!BI36=3,Source!O36+Source!X36+Source!Y36,0)</f>
        <v>0</v>
      </c>
      <c r="X109">
        <f>IF(Source!BI36=4,Source!O36+Source!X36+Source!Y36,0)</f>
        <v>0</v>
      </c>
      <c r="Y109">
        <v>13</v>
      </c>
    </row>
    <row r="110" spans="1:11" ht="12.75">
      <c r="A110" s="11"/>
      <c r="B110" s="11"/>
      <c r="C110" s="11" t="s">
        <v>291</v>
      </c>
      <c r="D110" s="11" t="s">
        <v>232</v>
      </c>
      <c r="E110" s="11">
        <f>Source!DN34</f>
        <v>104</v>
      </c>
      <c r="F110" s="11"/>
      <c r="G110" s="11"/>
      <c r="H110" s="11"/>
      <c r="I110" s="18">
        <f>ROUND((E110/100)*ROUND((Source!CT34/IF(Source!BA34&lt;&gt;0,Source!BA34,1)*Source!I34),2),2)</f>
        <v>6236.11</v>
      </c>
      <c r="J110" s="11">
        <f>Source!AT34</f>
        <v>89</v>
      </c>
      <c r="K110" s="18">
        <f>Source!X34</f>
        <v>75674.03</v>
      </c>
    </row>
    <row r="111" spans="1:11" ht="12.75">
      <c r="A111" s="11"/>
      <c r="B111" s="11"/>
      <c r="C111" s="11" t="s">
        <v>292</v>
      </c>
      <c r="D111" s="11" t="s">
        <v>232</v>
      </c>
      <c r="E111" s="11">
        <f>Source!DO34</f>
        <v>79</v>
      </c>
      <c r="F111" s="11"/>
      <c r="G111" s="11"/>
      <c r="H111" s="11"/>
      <c r="I111" s="18">
        <f>ROUND((E111/100)*ROUND((Source!CT34/IF(Source!BA34&lt;&gt;0,Source!BA34,1)*Source!I34),2),2)</f>
        <v>4737.05</v>
      </c>
      <c r="J111" s="11">
        <f>Source!AU34</f>
        <v>44</v>
      </c>
      <c r="K111" s="18">
        <f>Source!Y34</f>
        <v>37411.88</v>
      </c>
    </row>
    <row r="112" spans="1:11" ht="12.75">
      <c r="A112" s="11"/>
      <c r="B112" s="11"/>
      <c r="C112" s="11" t="s">
        <v>293</v>
      </c>
      <c r="D112" s="11" t="s">
        <v>232</v>
      </c>
      <c r="E112" s="11">
        <v>175</v>
      </c>
      <c r="F112" s="11"/>
      <c r="G112" s="11"/>
      <c r="H112" s="11"/>
      <c r="I112" s="18">
        <f>ROUND(ROUND((Source!CS34/IF(Source!BS34&lt;&gt;0,Source!BS34,1)*Source!I34),2)*1.75,2)</f>
        <v>1176.53</v>
      </c>
      <c r="J112" s="11">
        <v>180</v>
      </c>
      <c r="K112" s="18">
        <f>ROUND(Source!R34*J112/100,2)</f>
        <v>17159.65</v>
      </c>
    </row>
    <row r="113" spans="1:11" ht="12.75">
      <c r="A113" s="35"/>
      <c r="B113" s="35"/>
      <c r="C113" s="35" t="s">
        <v>231</v>
      </c>
      <c r="D113" s="35" t="s">
        <v>233</v>
      </c>
      <c r="E113" s="35">
        <f>Source!AQ34</f>
        <v>53</v>
      </c>
      <c r="F113" s="35"/>
      <c r="G113" s="36" t="str">
        <f>Source!DI34</f>
        <v>*1,15</v>
      </c>
      <c r="H113" s="35">
        <f>Source!AV34</f>
        <v>1.087</v>
      </c>
      <c r="I113" s="37">
        <f>ROUND(Source!U34,2)</f>
        <v>461.25</v>
      </c>
      <c r="J113" s="35"/>
      <c r="K113" s="35"/>
    </row>
    <row r="114" spans="9:24" ht="12.75">
      <c r="I114" s="38">
        <f>ROUND((Source!CT34/IF(Source!BA34&lt;&gt;0,Source!BA34,1)*Source!I34),2)+ROUND((Source!CR34/IF(Source!BB34&lt;&gt;0,Source!BB34,1)*Source!I34),2)+ROUND((Source!CQ34/IF(Source!BC34&lt;&gt;0,Source!BC34,1)*Source!I34),2)+SUM(I108:I112)</f>
        <v>70453.47</v>
      </c>
      <c r="J114" s="12"/>
      <c r="K114" s="38">
        <f>Source!O34+SUM(K108:K112)</f>
        <v>524352.58</v>
      </c>
      <c r="L114">
        <f>ROUND((Source!CT34/IF(Source!BA34&lt;&gt;0,Source!BA34,1)*Source!I34),2)</f>
        <v>5996.26</v>
      </c>
      <c r="M114" s="9">
        <f>I114</f>
        <v>70453.47</v>
      </c>
      <c r="N114" s="9">
        <f>K114</f>
        <v>524352.58</v>
      </c>
      <c r="O114">
        <f>ROUND(IF(Source!BI34=1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25587.36</v>
      </c>
      <c r="P114">
        <f>ROUND(IF(Source!BI34=2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0</v>
      </c>
      <c r="Q114">
        <f>ROUND(IF(Source!BI34=3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0</v>
      </c>
      <c r="R114">
        <f>ROUND(IF(Source!BI34=4,(ROUND((Source!CT34/IF(Source!BA34&lt;&gt;0,Source!BA34,1)*Source!I34),2)+ROUND((Source!CR34/IF(Source!BB34&lt;&gt;0,Source!BB34,1)*Source!I34),2)+ROUND((Source!CQ34/IF(Source!BC34&lt;&gt;0,Source!BC34,1)*Source!I34),2)+((Source!DN34/100)*ROUND((Source!CT34/IF(Source!BA34&lt;&gt;0,Source!BA34,1)*Source!I34),2))+((Source!DO34/100)*ROUND((Source!CT34/IF(Source!BA34&lt;&gt;0,Source!BA34,1)*Source!I34),2))+(ROUND((Source!CS34/IF(Source!BS34&lt;&gt;0,Source!BS34,1)*Source!I34),2)*1.75)),0),2)</f>
        <v>0</v>
      </c>
      <c r="U114">
        <f>IF(Source!BI34=1,Source!O34+Source!X34+Source!Y34+Source!R34*180/100,0)</f>
        <v>256478.512</v>
      </c>
      <c r="V114">
        <f>IF(Source!BI34=2,Source!O34+Source!X34+Source!Y34+Source!R34*180/100,0)</f>
        <v>0</v>
      </c>
      <c r="W114">
        <f>IF(Source!BI34=3,Source!O34+Source!X34+Source!Y34+Source!R34*180/100,0)</f>
        <v>0</v>
      </c>
      <c r="X114">
        <f>IF(Source!BI34=4,Source!O34+Source!X34+Source!Y34+Source!R34*180/100,0)</f>
        <v>0</v>
      </c>
    </row>
    <row r="115" spans="1:25" ht="36">
      <c r="A115" s="31" t="str">
        <f>Source!E37</f>
        <v>9</v>
      </c>
      <c r="B115" s="31" t="str">
        <f>Source!F37</f>
        <v>6.58-31-3</v>
      </c>
      <c r="C115" s="17" t="str">
        <f>Source!G37</f>
        <v>РЕМОНТ ЦЕМЕНТНОЙ СТЯЖКИ ОТДЕЛЬНЫМИ МЕСТАМИ, ПЛОЩАДЬ ЗАДЕЛКИ, М2, ДО: 1,0</v>
      </c>
      <c r="D115" s="32" t="str">
        <f>Source!H37</f>
        <v>100 мест</v>
      </c>
      <c r="E115" s="11">
        <f>ROUND(Source!I37,6)</f>
        <v>0.14</v>
      </c>
      <c r="F115" s="11"/>
      <c r="G115" s="11"/>
      <c r="H115" s="11"/>
      <c r="I115" s="11"/>
      <c r="J115" s="11"/>
      <c r="K115" s="11"/>
      <c r="Y115">
        <v>14</v>
      </c>
    </row>
    <row r="116" spans="1:11" ht="12.75">
      <c r="A116" s="11"/>
      <c r="B116" s="11"/>
      <c r="C116" s="11" t="s">
        <v>287</v>
      </c>
      <c r="D116" s="11"/>
      <c r="E116" s="11"/>
      <c r="F116" s="18">
        <f>Source!AO37</f>
        <v>1311.93</v>
      </c>
      <c r="G116" s="33">
        <f>Source!DG37</f>
      </c>
      <c r="H116" s="11">
        <f>Source!AV37</f>
        <v>1.087</v>
      </c>
      <c r="I116" s="18">
        <f>ROUND((Source!CT37/IF(Source!BA37&lt;&gt;0,Source!BA37,1)*Source!I37),2)</f>
        <v>199.65</v>
      </c>
      <c r="J116" s="11">
        <f>Source!BA37</f>
        <v>14.18</v>
      </c>
      <c r="K116" s="18">
        <f>Source!S37</f>
        <v>2831.03</v>
      </c>
    </row>
    <row r="117" spans="1:11" ht="12.75">
      <c r="A117" s="11"/>
      <c r="B117" s="11"/>
      <c r="C117" s="11" t="s">
        <v>288</v>
      </c>
      <c r="D117" s="11"/>
      <c r="E117" s="11"/>
      <c r="F117" s="18">
        <f>Source!AM37</f>
        <v>54.8</v>
      </c>
      <c r="G117" s="33">
        <f>Source!DE37</f>
      </c>
      <c r="H117" s="11">
        <f>Source!AV37</f>
        <v>1.087</v>
      </c>
      <c r="I117" s="18">
        <f>ROUND((Source!CR37/IF(Source!BB37&lt;&gt;0,Source!BB37,1)*Source!I37),2)</f>
        <v>8.34</v>
      </c>
      <c r="J117" s="11">
        <f>Source!BB37</f>
        <v>6.98</v>
      </c>
      <c r="K117" s="18">
        <f>Source!Q37</f>
        <v>58.21</v>
      </c>
    </row>
    <row r="118" spans="1:12" ht="12.75">
      <c r="A118" s="11"/>
      <c r="B118" s="11"/>
      <c r="C118" s="11" t="s">
        <v>289</v>
      </c>
      <c r="D118" s="11"/>
      <c r="E118" s="11"/>
      <c r="F118" s="18">
        <f>Source!AN37</f>
        <v>16.7</v>
      </c>
      <c r="G118" s="33">
        <f>Source!DF37</f>
      </c>
      <c r="H118" s="11">
        <f>Source!AV37</f>
        <v>1.087</v>
      </c>
      <c r="I118" s="34" t="str">
        <f>CONCATENATE("(",TEXT(+ROUND((Source!CS37/IF(J118&lt;&gt;0,J118,1)*Source!I37),2),"0,00"),")")</f>
        <v>(2,54)</v>
      </c>
      <c r="J118" s="11">
        <f>Source!BS37</f>
        <v>14.18</v>
      </c>
      <c r="K118" s="34" t="str">
        <f>CONCATENATE("(",TEXT(+Source!R37,"0,00"),")")</f>
        <v>(36,04)</v>
      </c>
      <c r="L118">
        <f>ROUND(IF(J118&lt;&gt;0,Source!R37/J118,Source!R37),2)</f>
        <v>2.54</v>
      </c>
    </row>
    <row r="119" spans="1:11" ht="12.75">
      <c r="A119" s="11"/>
      <c r="B119" s="11"/>
      <c r="C119" s="11" t="s">
        <v>290</v>
      </c>
      <c r="D119" s="11"/>
      <c r="E119" s="11"/>
      <c r="F119" s="18">
        <f>Source!AL37</f>
        <v>972.06</v>
      </c>
      <c r="G119" s="11">
        <f>Source!DD37</f>
      </c>
      <c r="H119" s="11">
        <f>Source!AW37</f>
        <v>1.001</v>
      </c>
      <c r="I119" s="18">
        <f>ROUND((Source!CQ37/IF(Source!BC37&lt;&gt;0,Source!BC37,1)*Source!I37),2)</f>
        <v>136.22</v>
      </c>
      <c r="J119" s="11">
        <f>Source!BC37</f>
        <v>6.12</v>
      </c>
      <c r="K119" s="18">
        <f>Source!P37</f>
        <v>833.69</v>
      </c>
    </row>
    <row r="120" spans="1:11" ht="12.75">
      <c r="A120" s="11"/>
      <c r="B120" s="11"/>
      <c r="C120" s="11" t="s">
        <v>291</v>
      </c>
      <c r="D120" s="11" t="s">
        <v>232</v>
      </c>
      <c r="E120" s="11">
        <f>Source!DN37</f>
        <v>104</v>
      </c>
      <c r="F120" s="11"/>
      <c r="G120" s="11"/>
      <c r="H120" s="11"/>
      <c r="I120" s="18">
        <f>ROUND((E120/100)*ROUND((Source!CT37/IF(Source!BA37&lt;&gt;0,Source!BA37,1)*Source!I37),2),2)</f>
        <v>207.64</v>
      </c>
      <c r="J120" s="11">
        <f>Source!AT37</f>
        <v>89</v>
      </c>
      <c r="K120" s="18">
        <f>Source!X37</f>
        <v>2519.62</v>
      </c>
    </row>
    <row r="121" spans="1:11" ht="12.75">
      <c r="A121" s="11"/>
      <c r="B121" s="11"/>
      <c r="C121" s="11" t="s">
        <v>292</v>
      </c>
      <c r="D121" s="11" t="s">
        <v>232</v>
      </c>
      <c r="E121" s="11">
        <f>Source!DO37</f>
        <v>79</v>
      </c>
      <c r="F121" s="11"/>
      <c r="G121" s="11"/>
      <c r="H121" s="11"/>
      <c r="I121" s="18">
        <f>ROUND((E121/100)*ROUND((Source!CT37/IF(Source!BA37&lt;&gt;0,Source!BA37,1)*Source!I37),2),2)</f>
        <v>157.72</v>
      </c>
      <c r="J121" s="11">
        <f>Source!AU37</f>
        <v>44</v>
      </c>
      <c r="K121" s="18">
        <f>Source!Y37</f>
        <v>1245.65</v>
      </c>
    </row>
    <row r="122" spans="1:11" ht="12.75">
      <c r="A122" s="11"/>
      <c r="B122" s="11"/>
      <c r="C122" s="11" t="s">
        <v>293</v>
      </c>
      <c r="D122" s="11" t="s">
        <v>232</v>
      </c>
      <c r="E122" s="11">
        <v>175</v>
      </c>
      <c r="F122" s="11"/>
      <c r="G122" s="11"/>
      <c r="H122" s="11"/>
      <c r="I122" s="18">
        <f>ROUND(ROUND((Source!CS37/IF(Source!BS37&lt;&gt;0,Source!BS37,1)*Source!I37),2)*1.75,2)</f>
        <v>4.45</v>
      </c>
      <c r="J122" s="11">
        <v>180</v>
      </c>
      <c r="K122" s="18">
        <f>ROUND(Source!R37*J122/100,2)</f>
        <v>64.87</v>
      </c>
    </row>
    <row r="123" spans="1:11" ht="12.75">
      <c r="A123" s="35"/>
      <c r="B123" s="35"/>
      <c r="C123" s="35" t="s">
        <v>231</v>
      </c>
      <c r="D123" s="35" t="s">
        <v>233</v>
      </c>
      <c r="E123" s="35">
        <f>Source!AQ37</f>
        <v>113</v>
      </c>
      <c r="F123" s="35"/>
      <c r="G123" s="36">
        <f>Source!DI37</f>
      </c>
      <c r="H123" s="35">
        <f>Source!AV37</f>
        <v>1.087</v>
      </c>
      <c r="I123" s="37">
        <f>ROUND(Source!U37,2)</f>
        <v>17.2</v>
      </c>
      <c r="J123" s="35"/>
      <c r="K123" s="35"/>
    </row>
    <row r="124" spans="9:24" ht="12.75">
      <c r="I124" s="38">
        <f>ROUND((Source!CT37/IF(Source!BA37&lt;&gt;0,Source!BA37,1)*Source!I37),2)+ROUND((Source!CR37/IF(Source!BB37&lt;&gt;0,Source!BB37,1)*Source!I37),2)+ROUND((Source!CQ37/IF(Source!BC37&lt;&gt;0,Source!BC37,1)*Source!I37),2)+SUM(I120:I122)</f>
        <v>714.02</v>
      </c>
      <c r="J124" s="12"/>
      <c r="K124" s="38">
        <f>Source!O37+SUM(K120:K122)</f>
        <v>7553.07</v>
      </c>
      <c r="L124">
        <f>ROUND((Source!CT37/IF(Source!BA37&lt;&gt;0,Source!BA37,1)*Source!I37),2)</f>
        <v>199.65</v>
      </c>
      <c r="M124" s="9">
        <f>I124</f>
        <v>714.02</v>
      </c>
      <c r="N124" s="9">
        <f>K124</f>
        <v>7553.07</v>
      </c>
      <c r="O124">
        <f>ROUND(IF(Source!BI37=1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714.01</v>
      </c>
      <c r="P124">
        <f>ROUND(IF(Source!BI37=2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0</v>
      </c>
      <c r="Q124">
        <f>ROUND(IF(Source!BI37=3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0</v>
      </c>
      <c r="R124">
        <f>ROUND(IF(Source!BI37=4,(ROUND((Source!CT37/IF(Source!BA37&lt;&gt;0,Source!BA37,1)*Source!I37),2)+ROUND((Source!CR37/IF(Source!BB37&lt;&gt;0,Source!BB37,1)*Source!I37),2)+ROUND((Source!CQ37/IF(Source!BC37&lt;&gt;0,Source!BC37,1)*Source!I37),2)+((Source!DN37/100)*ROUND((Source!CT37/IF(Source!BA37&lt;&gt;0,Source!BA37,1)*Source!I37),2))+((Source!DO37/100)*ROUND((Source!CT37/IF(Source!BA37&lt;&gt;0,Source!BA37,1)*Source!I37),2))+(ROUND((Source!CS37/IF(Source!BS37&lt;&gt;0,Source!BS37,1)*Source!I37),2)*1.75)),0),2)</f>
        <v>0</v>
      </c>
      <c r="U124">
        <f>IF(Source!BI37=1,Source!O37+Source!X37+Source!Y37+Source!R37*180/100,0)</f>
        <v>7553.071999999999</v>
      </c>
      <c r="V124">
        <f>IF(Source!BI37=2,Source!O37+Source!X37+Source!Y37+Source!R37*180/100,0)</f>
        <v>0</v>
      </c>
      <c r="W124">
        <f>IF(Source!BI37=3,Source!O37+Source!X37+Source!Y37+Source!R37*180/100,0)</f>
        <v>0</v>
      </c>
      <c r="X124">
        <f>IF(Source!BI37=4,Source!O37+Source!X37+Source!Y37+Source!R37*180/100,0)</f>
        <v>0</v>
      </c>
    </row>
    <row r="125" spans="1:25" ht="48">
      <c r="A125" s="31" t="str">
        <f>Source!E38</f>
        <v>10</v>
      </c>
      <c r="B125" s="31" t="str">
        <f>Source!F38</f>
        <v>3.7-40-11</v>
      </c>
      <c r="C125" s="17" t="str">
        <f>Source!G38</f>
        <v>УСТАНОВКА МЕЛКИХ КОНСТРУКЦИЙ (ПОДОКОННИКОВ, СЛИВОВ, ПАРАПЕТОВ И ДР) МАССОЙ ДО 0,5 Т</v>
      </c>
      <c r="D125" s="32" t="str">
        <f>Source!H38</f>
        <v>100 шт.</v>
      </c>
      <c r="E125" s="11">
        <f>ROUND(Source!I38,6)</f>
        <v>0.44</v>
      </c>
      <c r="F125" s="11"/>
      <c r="G125" s="11"/>
      <c r="H125" s="11"/>
      <c r="I125" s="11"/>
      <c r="J125" s="11"/>
      <c r="K125" s="11"/>
      <c r="Y125">
        <v>15</v>
      </c>
    </row>
    <row r="126" spans="1:11" ht="12.75">
      <c r="A126" s="11"/>
      <c r="B126" s="11"/>
      <c r="C126" s="11" t="s">
        <v>287</v>
      </c>
      <c r="D126" s="11"/>
      <c r="E126" s="11"/>
      <c r="F126" s="18">
        <f>Source!AO38</f>
        <v>1239.09</v>
      </c>
      <c r="G126" s="33" t="str">
        <f>Source!DG38</f>
        <v>*1,15</v>
      </c>
      <c r="H126" s="11">
        <f>Source!AV38</f>
        <v>1.087</v>
      </c>
      <c r="I126" s="18">
        <f>ROUND((Source!CT38/IF(Source!BA38&lt;&gt;0,Source!BA38,1)*Source!I38),2)</f>
        <v>681.53</v>
      </c>
      <c r="J126" s="11">
        <f>Source!BA38</f>
        <v>14.18</v>
      </c>
      <c r="K126" s="18">
        <f>Source!S38</f>
        <v>9664.05</v>
      </c>
    </row>
    <row r="127" spans="1:11" ht="12.75">
      <c r="A127" s="11"/>
      <c r="B127" s="11"/>
      <c r="C127" s="11" t="s">
        <v>288</v>
      </c>
      <c r="D127" s="11"/>
      <c r="E127" s="11"/>
      <c r="F127" s="18">
        <f>Source!AM38</f>
        <v>0</v>
      </c>
      <c r="G127" s="33" t="str">
        <f>Source!DE38</f>
        <v>*1,25</v>
      </c>
      <c r="H127" s="11">
        <f>Source!AV38</f>
        <v>1.087</v>
      </c>
      <c r="I127" s="18">
        <f>ROUND((Source!CR38/IF(Source!BB38&lt;&gt;0,Source!BB38,1)*Source!I38),2)</f>
        <v>0</v>
      </c>
      <c r="J127" s="11">
        <f>Source!BB38</f>
        <v>1</v>
      </c>
      <c r="K127" s="18">
        <f>Source!Q38</f>
        <v>0</v>
      </c>
    </row>
    <row r="128" spans="1:12" ht="12.75">
      <c r="A128" s="11"/>
      <c r="B128" s="11"/>
      <c r="C128" s="11" t="s">
        <v>289</v>
      </c>
      <c r="D128" s="11"/>
      <c r="E128" s="11"/>
      <c r="F128" s="18">
        <f>Source!AN38</f>
        <v>0</v>
      </c>
      <c r="G128" s="33" t="str">
        <f>Source!DF38</f>
        <v>*1,25</v>
      </c>
      <c r="H128" s="11">
        <f>Source!AV38</f>
        <v>1.087</v>
      </c>
      <c r="I128" s="34" t="str">
        <f>CONCATENATE("(",TEXT(+ROUND((Source!CS38/IF(J128&lt;&gt;0,J128,1)*Source!I38),2),"0,00"),")")</f>
        <v>(0,00)</v>
      </c>
      <c r="J128" s="11">
        <f>Source!BS38</f>
        <v>14.18</v>
      </c>
      <c r="K128" s="34" t="str">
        <f>CONCATENATE("(",TEXT(+Source!R38,"0,00"),")")</f>
        <v>(0,00)</v>
      </c>
      <c r="L128">
        <f>ROUND(IF(J128&lt;&gt;0,Source!R38/J128,Source!R38),2)</f>
        <v>0</v>
      </c>
    </row>
    <row r="129" spans="1:11" ht="12.75">
      <c r="A129" s="11"/>
      <c r="B129" s="11"/>
      <c r="C129" s="11" t="s">
        <v>290</v>
      </c>
      <c r="D129" s="11"/>
      <c r="E129" s="11"/>
      <c r="F129" s="18">
        <f>Source!AL38</f>
        <v>1488.76</v>
      </c>
      <c r="G129" s="11">
        <f>Source!DD38</f>
      </c>
      <c r="H129" s="11">
        <f>Source!AW38</f>
        <v>1.003</v>
      </c>
      <c r="I129" s="18">
        <f>ROUND((Source!CQ38/IF(Source!BC38&lt;&gt;0,Source!BC38,1)*Source!I38),2)</f>
        <v>657.02</v>
      </c>
      <c r="J129" s="11">
        <f>Source!BC38</f>
        <v>6.14</v>
      </c>
      <c r="K129" s="18">
        <f>Source!P38</f>
        <v>4034.1</v>
      </c>
    </row>
    <row r="130" spans="1:25" ht="24">
      <c r="A130" s="31" t="str">
        <f>Source!E39</f>
        <v>10,1</v>
      </c>
      <c r="B130" s="31" t="str">
        <f>Source!F39</f>
        <v>1.5-4-468</v>
      </c>
      <c r="C130" s="17" t="str">
        <f>Source!G39</f>
        <v>ПЛИТЫ ПАРАПЕТНЫЕ, МАРКА ПР-30, ПР-12</v>
      </c>
      <c r="D130" s="32" t="str">
        <f>Source!H39</f>
        <v>м3</v>
      </c>
      <c r="E130" s="11">
        <f>ROUND(Source!I39,6)</f>
        <v>3.934</v>
      </c>
      <c r="F130" s="18">
        <f>IF(Source!AL39=0,Source!AK39,Source!AL39)</f>
        <v>1205.65</v>
      </c>
      <c r="G130" s="33">
        <f>Source!DD39</f>
      </c>
      <c r="H130" s="11">
        <f>Source!AW39</f>
        <v>1.003</v>
      </c>
      <c r="I130" s="18">
        <f>ROUND((Source!CR39/IF(Source!BB39&lt;&gt;0,Source!BB39,1)*Source!I39),2)+ROUND((Source!CQ39/IF(Source!BC39&lt;&gt;0,Source!BC39,1)*Source!I39),2)+ROUND((Source!CT39/IF(Source!BA39&lt;&gt;0,Source!BA39,1)*Source!I39),2)</f>
        <v>4757.26</v>
      </c>
      <c r="J130" s="11">
        <f>Source!BC39</f>
        <v>7.85</v>
      </c>
      <c r="K130" s="18">
        <f>Source!O39+Source!X39+Source!Y39</f>
        <v>37344.46</v>
      </c>
      <c r="O130">
        <f>IF(Source!BI39=1,(ROUND((Source!CR39/IF(Source!BB39&lt;&gt;0,Source!BB39,1)*Source!I39),2)+ROUND((Source!CQ39/IF(Source!BC39&lt;&gt;0,Source!BC39,1)*Source!I39),2)+ROUND((Source!CT39/IF(Source!BA39&lt;&gt;0,Source!BA39,1)*Source!I39),2)),0)</f>
        <v>4757.26</v>
      </c>
      <c r="P130">
        <f>IF(Source!BI39=2,(ROUND((Source!CR39/IF(Source!BB39&lt;&gt;0,Source!BB39,1)*Source!I39),2)+ROUND((Source!CQ39/IF(Source!BC39&lt;&gt;0,Source!BC39,1)*Source!I39),2)+ROUND((Source!CT39/IF(Source!BA39&lt;&gt;0,Source!BA39,1)*Source!I39),2)),0)</f>
        <v>0</v>
      </c>
      <c r="Q130">
        <f>IF(Source!BI39=3,(ROUND((Source!CR39/IF(Source!BB39&lt;&gt;0,Source!BB39,1)*Source!I39),2)+ROUND((Source!CQ39/IF(Source!BC39&lt;&gt;0,Source!BC39,1)*Source!I39),2)+ROUND((Source!CT39/IF(Source!BA39&lt;&gt;0,Source!BA39,1)*Source!I39),2)),0)</f>
        <v>0</v>
      </c>
      <c r="R130">
        <f>IF(Source!BI39=4,(ROUND((Source!CR39/IF(Source!BB39&lt;&gt;0,Source!BB39,1)*Source!I39),2)+ROUND((Source!CQ39/IF(Source!BC39&lt;&gt;0,Source!BC39,1)*Source!I39),2)+ROUND((Source!CT39/IF(Source!BA39&lt;&gt;0,Source!BA39,1)*Source!I39),2)),0)</f>
        <v>0</v>
      </c>
      <c r="U130">
        <f>IF(Source!BI39=1,Source!O39+Source!X39+Source!Y39,0)</f>
        <v>37344.46</v>
      </c>
      <c r="V130">
        <f>IF(Source!BI39=2,Source!O39+Source!X39+Source!Y39,0)</f>
        <v>0</v>
      </c>
      <c r="W130">
        <f>IF(Source!BI39=3,Source!O39+Source!X39+Source!Y39,0)</f>
        <v>0</v>
      </c>
      <c r="X130">
        <f>IF(Source!BI39=4,Source!O39+Source!X39+Source!Y39,0)</f>
        <v>0</v>
      </c>
      <c r="Y130">
        <v>16</v>
      </c>
    </row>
    <row r="131" spans="1:11" ht="12.75">
      <c r="A131" s="11"/>
      <c r="B131" s="11"/>
      <c r="C131" s="11" t="s">
        <v>291</v>
      </c>
      <c r="D131" s="11" t="s">
        <v>232</v>
      </c>
      <c r="E131" s="11">
        <f>Source!DN38</f>
        <v>138</v>
      </c>
      <c r="F131" s="11"/>
      <c r="G131" s="11"/>
      <c r="H131" s="11"/>
      <c r="I131" s="18">
        <f>ROUND((E131/100)*ROUND((Source!CT38/IF(Source!BA38&lt;&gt;0,Source!BA38,1)*Source!I38),2),2)</f>
        <v>940.51</v>
      </c>
      <c r="J131" s="11">
        <f>Source!AT38</f>
        <v>117</v>
      </c>
      <c r="K131" s="18">
        <f>Source!X38</f>
        <v>11306.94</v>
      </c>
    </row>
    <row r="132" spans="1:11" ht="12.75">
      <c r="A132" s="11"/>
      <c r="B132" s="11"/>
      <c r="C132" s="11" t="s">
        <v>292</v>
      </c>
      <c r="D132" s="11" t="s">
        <v>232</v>
      </c>
      <c r="E132" s="11">
        <f>Source!DO38</f>
        <v>70</v>
      </c>
      <c r="F132" s="11"/>
      <c r="G132" s="11"/>
      <c r="H132" s="11"/>
      <c r="I132" s="18">
        <f>ROUND((E132/100)*ROUND((Source!CT38/IF(Source!BA38&lt;&gt;0,Source!BA38,1)*Source!I38),2),2)</f>
        <v>477.07</v>
      </c>
      <c r="J132" s="11">
        <f>Source!AU38</f>
        <v>44</v>
      </c>
      <c r="K132" s="18">
        <f>Source!Y38</f>
        <v>4252.18</v>
      </c>
    </row>
    <row r="133" spans="1:11" ht="12.75">
      <c r="A133" s="11"/>
      <c r="B133" s="11"/>
      <c r="C133" s="11" t="s">
        <v>293</v>
      </c>
      <c r="D133" s="11" t="s">
        <v>232</v>
      </c>
      <c r="E133" s="11">
        <v>175</v>
      </c>
      <c r="F133" s="11"/>
      <c r="G133" s="11"/>
      <c r="H133" s="11"/>
      <c r="I133" s="18">
        <f>ROUND(ROUND((Source!CS38/IF(Source!BS38&lt;&gt;0,Source!BS38,1)*Source!I38),2)*1.75,2)</f>
        <v>0</v>
      </c>
      <c r="J133" s="11">
        <v>180</v>
      </c>
      <c r="K133" s="18">
        <f>ROUND(Source!R38*J133/100,2)</f>
        <v>0</v>
      </c>
    </row>
    <row r="134" spans="1:11" ht="12.75">
      <c r="A134" s="35"/>
      <c r="B134" s="35"/>
      <c r="C134" s="35" t="s">
        <v>231</v>
      </c>
      <c r="D134" s="35" t="s">
        <v>233</v>
      </c>
      <c r="E134" s="35">
        <f>Source!AQ38</f>
        <v>103</v>
      </c>
      <c r="F134" s="35"/>
      <c r="G134" s="36" t="str">
        <f>Source!DI38</f>
        <v>*1,15</v>
      </c>
      <c r="H134" s="35">
        <f>Source!AV38</f>
        <v>1.087</v>
      </c>
      <c r="I134" s="37">
        <f>ROUND(Source!U38,2)</f>
        <v>56.65</v>
      </c>
      <c r="J134" s="35"/>
      <c r="K134" s="35"/>
    </row>
    <row r="135" spans="9:24" ht="12.75">
      <c r="I135" s="38">
        <f>ROUND((Source!CT38/IF(Source!BA38&lt;&gt;0,Source!BA38,1)*Source!I38),2)+ROUND((Source!CR38/IF(Source!BB38&lt;&gt;0,Source!BB38,1)*Source!I38),2)+ROUND((Source!CQ38/IF(Source!BC38&lt;&gt;0,Source!BC38,1)*Source!I38),2)+SUM(I130:I133)</f>
        <v>7513.39</v>
      </c>
      <c r="J135" s="12"/>
      <c r="K135" s="38">
        <f>Source!O38+SUM(K130:K133)</f>
        <v>66601.73</v>
      </c>
      <c r="L135">
        <f>ROUND((Source!CT38/IF(Source!BA38&lt;&gt;0,Source!BA38,1)*Source!I38),2)</f>
        <v>681.53</v>
      </c>
      <c r="M135" s="9">
        <f>I135</f>
        <v>7513.39</v>
      </c>
      <c r="N135" s="9">
        <f>K135</f>
        <v>66601.73</v>
      </c>
      <c r="O135">
        <f>ROUND(IF(Source!BI38=1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2756.13</v>
      </c>
      <c r="P135">
        <f>ROUND(IF(Source!BI38=2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0</v>
      </c>
      <c r="Q135">
        <f>ROUND(IF(Source!BI38=3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0</v>
      </c>
      <c r="R135">
        <f>ROUND(IF(Source!BI38=4,(ROUND((Source!CT38/IF(Source!BA38&lt;&gt;0,Source!BA38,1)*Source!I38),2)+ROUND((Source!CR38/IF(Source!BB38&lt;&gt;0,Source!BB38,1)*Source!I38),2)+ROUND((Source!CQ38/IF(Source!BC38&lt;&gt;0,Source!BC38,1)*Source!I38),2)+((Source!DN38/100)*ROUND((Source!CT38/IF(Source!BA38&lt;&gt;0,Source!BA38,1)*Source!I38),2))+((Source!DO38/100)*ROUND((Source!CT38/IF(Source!BA38&lt;&gt;0,Source!BA38,1)*Source!I38),2))+(ROUND((Source!CS38/IF(Source!BS38&lt;&gt;0,Source!BS38,1)*Source!I38),2)*1.75)),0),2)</f>
        <v>0</v>
      </c>
      <c r="U135">
        <f>IF(Source!BI38=1,Source!O38+Source!X38+Source!Y38+Source!R38*180/100,0)</f>
        <v>29257.27</v>
      </c>
      <c r="V135">
        <f>IF(Source!BI38=2,Source!O38+Source!X38+Source!Y38+Source!R38*180/100,0)</f>
        <v>0</v>
      </c>
      <c r="W135">
        <f>IF(Source!BI38=3,Source!O38+Source!X38+Source!Y38+Source!R38*180/100,0)</f>
        <v>0</v>
      </c>
      <c r="X135">
        <f>IF(Source!BI38=4,Source!O38+Source!X38+Source!Y38+Source!R38*180/100,0)</f>
        <v>0</v>
      </c>
    </row>
    <row r="136" spans="1:25" ht="48">
      <c r="A136" s="31" t="str">
        <f>Source!E40</f>
        <v>11</v>
      </c>
      <c r="B136" s="31" t="str">
        <f>Source!F40</f>
        <v>3.12-3-4</v>
      </c>
      <c r="C136" s="17" t="str">
        <f>Source!G40</f>
        <v>УСТРОЙСТВО РУЛОННОГО ПОКРЫТИЯ В ДВА СЛОЯ ИЗ НАПЛАВЛЯЕМОГО МАТЕРИАЛА ТИПА "ФИЛИЗОЛ", "ИЗОПЛАСТ"</v>
      </c>
      <c r="D136" s="32" t="str">
        <f>Source!H40</f>
        <v>100 м2</v>
      </c>
      <c r="E136" s="11">
        <f>ROUND(Source!I40,6)</f>
        <v>1.211</v>
      </c>
      <c r="F136" s="11"/>
      <c r="G136" s="11"/>
      <c r="H136" s="11"/>
      <c r="I136" s="11"/>
      <c r="J136" s="11"/>
      <c r="K136" s="11"/>
      <c r="Y136">
        <v>17</v>
      </c>
    </row>
    <row r="137" spans="1:11" ht="12.75">
      <c r="A137" s="11"/>
      <c r="B137" s="11"/>
      <c r="C137" s="11" t="s">
        <v>287</v>
      </c>
      <c r="D137" s="11"/>
      <c r="E137" s="11"/>
      <c r="F137" s="18">
        <f>Source!AO40</f>
        <v>689</v>
      </c>
      <c r="G137" s="33" t="str">
        <f>Source!DG40</f>
        <v>*1,15</v>
      </c>
      <c r="H137" s="11">
        <f>Source!AV40</f>
        <v>1.087</v>
      </c>
      <c r="I137" s="18">
        <f>ROUND((Source!CT40/IF(Source!BA40&lt;&gt;0,Source!BA40,1)*Source!I40),2)</f>
        <v>1043.02</v>
      </c>
      <c r="J137" s="11">
        <f>Source!BA40</f>
        <v>14.18</v>
      </c>
      <c r="K137" s="18">
        <f>Source!S40</f>
        <v>14789.96</v>
      </c>
    </row>
    <row r="138" spans="1:11" ht="12.75">
      <c r="A138" s="11"/>
      <c r="B138" s="11"/>
      <c r="C138" s="11" t="s">
        <v>288</v>
      </c>
      <c r="D138" s="11"/>
      <c r="E138" s="11"/>
      <c r="F138" s="18">
        <f>Source!AM40</f>
        <v>267.17</v>
      </c>
      <c r="G138" s="33" t="str">
        <f>Source!DE40</f>
        <v>*1,25</v>
      </c>
      <c r="H138" s="11">
        <f>Source!AV40</f>
        <v>1.087</v>
      </c>
      <c r="I138" s="18">
        <f>ROUND((Source!CR40/IF(Source!BB40&lt;&gt;0,Source!BB40,1)*Source!I40),2)</f>
        <v>439.61</v>
      </c>
      <c r="J138" s="11">
        <f>Source!BB40</f>
        <v>7.36</v>
      </c>
      <c r="K138" s="18">
        <f>Source!Q40</f>
        <v>3235.56</v>
      </c>
    </row>
    <row r="139" spans="1:12" ht="12.75">
      <c r="A139" s="11"/>
      <c r="B139" s="11"/>
      <c r="C139" s="11" t="s">
        <v>289</v>
      </c>
      <c r="D139" s="11"/>
      <c r="E139" s="11"/>
      <c r="F139" s="18">
        <f>Source!AN40</f>
        <v>71.07</v>
      </c>
      <c r="G139" s="33" t="str">
        <f>Source!DF40</f>
        <v>*1,25</v>
      </c>
      <c r="H139" s="11">
        <f>Source!AV40</f>
        <v>1.087</v>
      </c>
      <c r="I139" s="34" t="str">
        <f>CONCATENATE("(",TEXT(+ROUND((Source!CS40/IF(J139&lt;&gt;0,J139,1)*Source!I40),2),"0,00"),")")</f>
        <v>(116,94)</v>
      </c>
      <c r="J139" s="11">
        <f>Source!BS40</f>
        <v>14.18</v>
      </c>
      <c r="K139" s="34" t="str">
        <f>CONCATENATE("(",TEXT(+Source!R40,"0,00"),")")</f>
        <v>(1658,24)</v>
      </c>
      <c r="L139">
        <f>ROUND(IF(J139&lt;&gt;0,Source!R40/J139,Source!R40),2)</f>
        <v>116.94</v>
      </c>
    </row>
    <row r="140" spans="1:11" ht="12.75">
      <c r="A140" s="11"/>
      <c r="B140" s="11"/>
      <c r="C140" s="11" t="s">
        <v>290</v>
      </c>
      <c r="D140" s="11"/>
      <c r="E140" s="11"/>
      <c r="F140" s="18">
        <f>Source!AL40</f>
        <v>705.14</v>
      </c>
      <c r="G140" s="11">
        <f>Source!DD40</f>
      </c>
      <c r="H140" s="11">
        <f>Source!AW40</f>
        <v>1.001</v>
      </c>
      <c r="I140" s="18">
        <f>ROUND((Source!CQ40/IF(Source!BC40&lt;&gt;0,Source!BC40,1)*Source!I40),2)</f>
        <v>854.78</v>
      </c>
      <c r="J140" s="11">
        <f>Source!BC40</f>
        <v>4.6</v>
      </c>
      <c r="K140" s="18">
        <f>Source!P40</f>
        <v>3931.98</v>
      </c>
    </row>
    <row r="141" spans="1:25" ht="36">
      <c r="A141" s="31" t="str">
        <f>Source!E41</f>
        <v>11,1</v>
      </c>
      <c r="B141" s="31" t="str">
        <f>Source!F41</f>
        <v>1.1-1-1312</v>
      </c>
      <c r="C141" s="17" t="str">
        <f>Source!G41</f>
        <v>МАТЕРИАЛ РУЛОННЫЙ КРОВЕЛЬНЫЙ, ФИЛИЗОЛ, МАРКА 'В'</v>
      </c>
      <c r="D141" s="32" t="str">
        <f>Source!H41</f>
        <v>м2</v>
      </c>
      <c r="E141" s="11">
        <f>ROUND(Source!I41,6)</f>
        <v>163.485</v>
      </c>
      <c r="F141" s="18">
        <f>IF(Source!AL41=0,Source!AK41,Source!AL41)</f>
        <v>25.09</v>
      </c>
      <c r="G141" s="33">
        <f>Source!DD41</f>
      </c>
      <c r="H141" s="11">
        <f>Source!AW41</f>
        <v>1.001</v>
      </c>
      <c r="I141" s="18">
        <f>ROUND((Source!CR41/IF(Source!BB41&lt;&gt;0,Source!BB41,1)*Source!I41),2)+ROUND((Source!CQ41/IF(Source!BC41&lt;&gt;0,Source!BC41,1)*Source!I41),2)+ROUND((Source!CT41/IF(Source!BA41&lt;&gt;0,Source!BA41,1)*Source!I41),2)</f>
        <v>4105.94</v>
      </c>
      <c r="J141" s="11">
        <f>Source!BC41</f>
        <v>5.98</v>
      </c>
      <c r="K141" s="18">
        <f>Source!O41+Source!X41+Source!Y41</f>
        <v>24553.52</v>
      </c>
      <c r="O141">
        <f>IF(Source!BI41=1,(ROUND((Source!CR41/IF(Source!BB41&lt;&gt;0,Source!BB41,1)*Source!I41),2)+ROUND((Source!CQ41/IF(Source!BC41&lt;&gt;0,Source!BC41,1)*Source!I41),2)+ROUND((Source!CT41/IF(Source!BA41&lt;&gt;0,Source!BA41,1)*Source!I41),2)),0)</f>
        <v>4105.94</v>
      </c>
      <c r="P141">
        <f>IF(Source!BI41=2,(ROUND((Source!CR41/IF(Source!BB41&lt;&gt;0,Source!BB41,1)*Source!I41),2)+ROUND((Source!CQ41/IF(Source!BC41&lt;&gt;0,Source!BC41,1)*Source!I41),2)+ROUND((Source!CT41/IF(Source!BA41&lt;&gt;0,Source!BA41,1)*Source!I41),2)),0)</f>
        <v>0</v>
      </c>
      <c r="Q141">
        <f>IF(Source!BI41=3,(ROUND((Source!CR41/IF(Source!BB41&lt;&gt;0,Source!BB41,1)*Source!I41),2)+ROUND((Source!CQ41/IF(Source!BC41&lt;&gt;0,Source!BC41,1)*Source!I41),2)+ROUND((Source!CT41/IF(Source!BA41&lt;&gt;0,Source!BA41,1)*Source!I41),2)),0)</f>
        <v>0</v>
      </c>
      <c r="R141">
        <f>IF(Source!BI41=4,(ROUND((Source!CR41/IF(Source!BB41&lt;&gt;0,Source!BB41,1)*Source!I41),2)+ROUND((Source!CQ41/IF(Source!BC41&lt;&gt;0,Source!BC41,1)*Source!I41),2)+ROUND((Source!CT41/IF(Source!BA41&lt;&gt;0,Source!BA41,1)*Source!I41),2)),0)</f>
        <v>0</v>
      </c>
      <c r="U141">
        <f>IF(Source!BI41=1,Source!O41+Source!X41+Source!Y41,0)</f>
        <v>24553.52</v>
      </c>
      <c r="V141">
        <f>IF(Source!BI41=2,Source!O41+Source!X41+Source!Y41,0)</f>
        <v>0</v>
      </c>
      <c r="W141">
        <f>IF(Source!BI41=3,Source!O41+Source!X41+Source!Y41,0)</f>
        <v>0</v>
      </c>
      <c r="X141">
        <f>IF(Source!BI41=4,Source!O41+Source!X41+Source!Y41,0)</f>
        <v>0</v>
      </c>
      <c r="Y141">
        <v>18</v>
      </c>
    </row>
    <row r="142" spans="1:25" ht="36">
      <c r="A142" s="31" t="str">
        <f>Source!E42</f>
        <v>11,2</v>
      </c>
      <c r="B142" s="31" t="str">
        <f>Source!F42</f>
        <v>1.1-1-1313</v>
      </c>
      <c r="C142" s="17" t="str">
        <f>Source!G42</f>
        <v>МАТЕРИАЛ РУЛОННЫЙ КРОВЕЛЬНЫЙ, ФИЛИЗОЛ, МАРКА 'Н'</v>
      </c>
      <c r="D142" s="32" t="str">
        <f>Source!H42</f>
        <v>м2</v>
      </c>
      <c r="E142" s="11">
        <f>ROUND(Source!I42,6)</f>
        <v>160.2153</v>
      </c>
      <c r="F142" s="18">
        <f>IF(Source!AL42=0,Source!AK42,Source!AL42)</f>
        <v>23.06</v>
      </c>
      <c r="G142" s="33">
        <f>Source!DD42</f>
      </c>
      <c r="H142" s="11">
        <f>Source!AW42</f>
        <v>1.001</v>
      </c>
      <c r="I142" s="18">
        <f>ROUND((Source!CR42/IF(Source!BB42&lt;&gt;0,Source!BB42,1)*Source!I42),2)+ROUND((Source!CQ42/IF(Source!BC42&lt;&gt;0,Source!BC42,1)*Source!I42),2)+ROUND((Source!CT42/IF(Source!BA42&lt;&gt;0,Source!BA42,1)*Source!I42),2)</f>
        <v>3698.26</v>
      </c>
      <c r="J142" s="11">
        <f>Source!BC42</f>
        <v>5.96</v>
      </c>
      <c r="K142" s="18">
        <f>Source!O42+Source!X42+Source!Y42</f>
        <v>22041.63</v>
      </c>
      <c r="O142">
        <f>IF(Source!BI42=1,(ROUND((Source!CR42/IF(Source!BB42&lt;&gt;0,Source!BB42,1)*Source!I42),2)+ROUND((Source!CQ42/IF(Source!BC42&lt;&gt;0,Source!BC42,1)*Source!I42),2)+ROUND((Source!CT42/IF(Source!BA42&lt;&gt;0,Source!BA42,1)*Source!I42),2)),0)</f>
        <v>3698.26</v>
      </c>
      <c r="P142">
        <f>IF(Source!BI42=2,(ROUND((Source!CR42/IF(Source!BB42&lt;&gt;0,Source!BB42,1)*Source!I42),2)+ROUND((Source!CQ42/IF(Source!BC42&lt;&gt;0,Source!BC42,1)*Source!I42),2)+ROUND((Source!CT42/IF(Source!BA42&lt;&gt;0,Source!BA42,1)*Source!I42),2)),0)</f>
        <v>0</v>
      </c>
      <c r="Q142">
        <f>IF(Source!BI42=3,(ROUND((Source!CR42/IF(Source!BB42&lt;&gt;0,Source!BB42,1)*Source!I42),2)+ROUND((Source!CQ42/IF(Source!BC42&lt;&gt;0,Source!BC42,1)*Source!I42),2)+ROUND((Source!CT42/IF(Source!BA42&lt;&gt;0,Source!BA42,1)*Source!I42),2)),0)</f>
        <v>0</v>
      </c>
      <c r="R142">
        <f>IF(Source!BI42=4,(ROUND((Source!CR42/IF(Source!BB42&lt;&gt;0,Source!BB42,1)*Source!I42),2)+ROUND((Source!CQ42/IF(Source!BC42&lt;&gt;0,Source!BC42,1)*Source!I42),2)+ROUND((Source!CT42/IF(Source!BA42&lt;&gt;0,Source!BA42,1)*Source!I42),2)),0)</f>
        <v>0</v>
      </c>
      <c r="U142">
        <f>IF(Source!BI42=1,Source!O42+Source!X42+Source!Y42,0)</f>
        <v>22041.63</v>
      </c>
      <c r="V142">
        <f>IF(Source!BI42=2,Source!O42+Source!X42+Source!Y42,0)</f>
        <v>0</v>
      </c>
      <c r="W142">
        <f>IF(Source!BI42=3,Source!O42+Source!X42+Source!Y42,0)</f>
        <v>0</v>
      </c>
      <c r="X142">
        <f>IF(Source!BI42=4,Source!O42+Source!X42+Source!Y42,0)</f>
        <v>0</v>
      </c>
      <c r="Y142">
        <v>19</v>
      </c>
    </row>
    <row r="143" spans="1:11" ht="12.75">
      <c r="A143" s="11"/>
      <c r="B143" s="11"/>
      <c r="C143" s="11" t="s">
        <v>291</v>
      </c>
      <c r="D143" s="11" t="s">
        <v>232</v>
      </c>
      <c r="E143" s="11">
        <f>Source!DN40</f>
        <v>104</v>
      </c>
      <c r="F143" s="11"/>
      <c r="G143" s="11"/>
      <c r="H143" s="11"/>
      <c r="I143" s="18">
        <f>ROUND((E143/100)*ROUND((Source!CT40/IF(Source!BA40&lt;&gt;0,Source!BA40,1)*Source!I40),2),2)</f>
        <v>1084.74</v>
      </c>
      <c r="J143" s="11">
        <f>Source!AT40</f>
        <v>89</v>
      </c>
      <c r="K143" s="18">
        <f>Source!X40</f>
        <v>13163.06</v>
      </c>
    </row>
    <row r="144" spans="1:11" ht="12.75">
      <c r="A144" s="11"/>
      <c r="B144" s="11"/>
      <c r="C144" s="11" t="s">
        <v>292</v>
      </c>
      <c r="D144" s="11" t="s">
        <v>232</v>
      </c>
      <c r="E144" s="11">
        <f>Source!DO40</f>
        <v>79</v>
      </c>
      <c r="F144" s="11"/>
      <c r="G144" s="11"/>
      <c r="H144" s="11"/>
      <c r="I144" s="18">
        <f>ROUND((E144/100)*ROUND((Source!CT40/IF(Source!BA40&lt;&gt;0,Source!BA40,1)*Source!I40),2),2)</f>
        <v>823.99</v>
      </c>
      <c r="J144" s="11">
        <f>Source!AU40</f>
        <v>44</v>
      </c>
      <c r="K144" s="18">
        <f>Source!Y40</f>
        <v>6507.58</v>
      </c>
    </row>
    <row r="145" spans="1:11" ht="12.75">
      <c r="A145" s="11"/>
      <c r="B145" s="11"/>
      <c r="C145" s="11" t="s">
        <v>293</v>
      </c>
      <c r="D145" s="11" t="s">
        <v>232</v>
      </c>
      <c r="E145" s="11">
        <v>175</v>
      </c>
      <c r="F145" s="11"/>
      <c r="G145" s="11"/>
      <c r="H145" s="11"/>
      <c r="I145" s="18">
        <f>ROUND(ROUND((Source!CS40/IF(Source!BS40&lt;&gt;0,Source!BS40,1)*Source!I40),2)*1.75,2)</f>
        <v>204.65</v>
      </c>
      <c r="J145" s="11">
        <v>180</v>
      </c>
      <c r="K145" s="18">
        <f>ROUND(Source!R40*J145/100,2)</f>
        <v>2984.83</v>
      </c>
    </row>
    <row r="146" spans="1:11" ht="12.75">
      <c r="A146" s="35"/>
      <c r="B146" s="35"/>
      <c r="C146" s="35" t="s">
        <v>231</v>
      </c>
      <c r="D146" s="35" t="s">
        <v>233</v>
      </c>
      <c r="E146" s="35">
        <f>Source!AQ40</f>
        <v>53</v>
      </c>
      <c r="F146" s="35"/>
      <c r="G146" s="36" t="str">
        <f>Source!DI40</f>
        <v>*1,15</v>
      </c>
      <c r="H146" s="35">
        <f>Source!AV40</f>
        <v>1.087</v>
      </c>
      <c r="I146" s="37">
        <f>ROUND(Source!U40,2)</f>
        <v>80.23</v>
      </c>
      <c r="J146" s="35"/>
      <c r="K146" s="35"/>
    </row>
    <row r="147" spans="9:24" ht="12.75">
      <c r="I147" s="38">
        <f>ROUND((Source!CT40/IF(Source!BA40&lt;&gt;0,Source!BA40,1)*Source!I40),2)+ROUND((Source!CR40/IF(Source!BB40&lt;&gt;0,Source!BB40,1)*Source!I40),2)+ROUND((Source!CQ40/IF(Source!BC40&lt;&gt;0,Source!BC40,1)*Source!I40),2)+SUM(I141:I145)</f>
        <v>12254.99</v>
      </c>
      <c r="J147" s="12"/>
      <c r="K147" s="38">
        <f>Source!O40+SUM(K141:K145)</f>
        <v>91208.12</v>
      </c>
      <c r="L147">
        <f>ROUND((Source!CT40/IF(Source!BA40&lt;&gt;0,Source!BA40,1)*Source!I40),2)</f>
        <v>1043.02</v>
      </c>
      <c r="M147" s="9">
        <f>I147</f>
        <v>12254.99</v>
      </c>
      <c r="N147" s="9">
        <f>K147</f>
        <v>91208.12</v>
      </c>
      <c r="O147">
        <f>ROUND(IF(Source!BI40=1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4450.78</v>
      </c>
      <c r="P147">
        <f>ROUND(IF(Source!BI40=2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0</v>
      </c>
      <c r="Q147">
        <f>ROUND(IF(Source!BI40=3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0</v>
      </c>
      <c r="R147">
        <f>ROUND(IF(Source!BI40=4,(ROUND((Source!CT40/IF(Source!BA40&lt;&gt;0,Source!BA40,1)*Source!I40),2)+ROUND((Source!CR40/IF(Source!BB40&lt;&gt;0,Source!BB40,1)*Source!I40),2)+ROUND((Source!CQ40/IF(Source!BC40&lt;&gt;0,Source!BC40,1)*Source!I40),2)+((Source!DN40/100)*ROUND((Source!CT40/IF(Source!BA40&lt;&gt;0,Source!BA40,1)*Source!I40),2))+((Source!DO40/100)*ROUND((Source!CT40/IF(Source!BA40&lt;&gt;0,Source!BA40,1)*Source!I40),2))+(ROUND((Source!CS40/IF(Source!BS40&lt;&gt;0,Source!BS40,1)*Source!I40),2)*1.75)),0),2)</f>
        <v>0</v>
      </c>
      <c r="U147">
        <f>IF(Source!BI40=1,Source!O40+Source!X40+Source!Y40+Source!R40*180/100,0)</f>
        <v>44612.972</v>
      </c>
      <c r="V147">
        <f>IF(Source!BI40=2,Source!O40+Source!X40+Source!Y40+Source!R40*180/100,0)</f>
        <v>0</v>
      </c>
      <c r="W147">
        <f>IF(Source!BI40=3,Source!O40+Source!X40+Source!Y40+Source!R40*180/100,0)</f>
        <v>0</v>
      </c>
      <c r="X147">
        <f>IF(Source!BI40=4,Source!O40+Source!X40+Source!Y40+Source!R40*180/100,0)</f>
        <v>0</v>
      </c>
    </row>
    <row r="148" spans="1:25" ht="24">
      <c r="A148" s="31" t="str">
        <f>Source!E43</f>
        <v>12</v>
      </c>
      <c r="B148" s="31" t="str">
        <f>Source!F43</f>
        <v>3.16-21-3</v>
      </c>
      <c r="C148" s="17" t="str">
        <f>Source!G43</f>
        <v>УСТАНОВКА ВОРОНОК СЛИВНЫХ ДИАМЕТРОМ, ММ 100</v>
      </c>
      <c r="D148" s="32" t="str">
        <f>Source!H43</f>
        <v>шт.</v>
      </c>
      <c r="E148" s="11">
        <f>ROUND(Source!I43,6)</f>
        <v>1</v>
      </c>
      <c r="F148" s="11"/>
      <c r="G148" s="11"/>
      <c r="H148" s="11"/>
      <c r="I148" s="11"/>
      <c r="J148" s="11"/>
      <c r="K148" s="11"/>
      <c r="Y148">
        <v>20</v>
      </c>
    </row>
    <row r="149" spans="1:11" ht="12.75">
      <c r="A149" s="11"/>
      <c r="B149" s="11"/>
      <c r="C149" s="11" t="s">
        <v>287</v>
      </c>
      <c r="D149" s="11"/>
      <c r="E149" s="11"/>
      <c r="F149" s="18">
        <f>Source!AO43</f>
        <v>9.52</v>
      </c>
      <c r="G149" s="33" t="str">
        <f>Source!DG43</f>
        <v>*0,4</v>
      </c>
      <c r="H149" s="11">
        <f>Source!AV43</f>
        <v>1.067</v>
      </c>
      <c r="I149" s="18">
        <f>ROUND((Source!CT43/IF(Source!BA43&lt;&gt;0,Source!BA43,1)*Source!I43),2)</f>
        <v>4.06</v>
      </c>
      <c r="J149" s="11">
        <f>Source!BA43</f>
        <v>14.18</v>
      </c>
      <c r="K149" s="18">
        <f>Source!S43</f>
        <v>57.62</v>
      </c>
    </row>
    <row r="150" spans="1:11" ht="12.75">
      <c r="A150" s="11"/>
      <c r="B150" s="11"/>
      <c r="C150" s="11" t="s">
        <v>288</v>
      </c>
      <c r="D150" s="11"/>
      <c r="E150" s="11"/>
      <c r="F150" s="18">
        <f>Source!AM43</f>
        <v>0.45</v>
      </c>
      <c r="G150" s="33" t="str">
        <f>Source!DE43</f>
        <v>*0,4</v>
      </c>
      <c r="H150" s="11">
        <f>Source!AV43</f>
        <v>1.067</v>
      </c>
      <c r="I150" s="18">
        <f>ROUND((Source!CR43/IF(Source!BB43&lt;&gt;0,Source!BB43,1)*Source!I43),2)</f>
        <v>0.19</v>
      </c>
      <c r="J150" s="11">
        <f>Source!BB43</f>
        <v>8</v>
      </c>
      <c r="K150" s="18">
        <f>Source!Q43</f>
        <v>1.54</v>
      </c>
    </row>
    <row r="151" spans="1:12" ht="12.75">
      <c r="A151" s="11"/>
      <c r="B151" s="11"/>
      <c r="C151" s="11" t="s">
        <v>289</v>
      </c>
      <c r="D151" s="11"/>
      <c r="E151" s="11"/>
      <c r="F151" s="18">
        <f>Source!AN43</f>
        <v>0.11</v>
      </c>
      <c r="G151" s="33" t="str">
        <f>Source!DF43</f>
        <v>*0,4</v>
      </c>
      <c r="H151" s="11">
        <f>Source!AV43</f>
        <v>1.067</v>
      </c>
      <c r="I151" s="34" t="str">
        <f>CONCATENATE("(",TEXT(+ROUND((Source!CS43/IF(J151&lt;&gt;0,J151,1)*Source!I43),2),"0,00"),")")</f>
        <v>(0,05)</v>
      </c>
      <c r="J151" s="11">
        <f>Source!BS43</f>
        <v>14.18</v>
      </c>
      <c r="K151" s="34" t="str">
        <f>CONCATENATE("(",TEXT(+Source!R43,"0,00"),")")</f>
        <v>(0,67)</v>
      </c>
      <c r="L151">
        <f>ROUND(IF(J151&lt;&gt;0,Source!R43/J151,Source!R43),2)</f>
        <v>0.05</v>
      </c>
    </row>
    <row r="152" spans="1:11" ht="12.75">
      <c r="A152" s="11"/>
      <c r="B152" s="11"/>
      <c r="C152" s="11" t="s">
        <v>290</v>
      </c>
      <c r="D152" s="11"/>
      <c r="E152" s="11"/>
      <c r="F152" s="18">
        <f>Source!AL43</f>
        <v>12.22</v>
      </c>
      <c r="G152" s="11">
        <f>Source!DD43</f>
      </c>
      <c r="H152" s="11">
        <f>Source!AW43</f>
        <v>1</v>
      </c>
      <c r="I152" s="18">
        <f>ROUND((Source!CQ43/IF(Source!BC43&lt;&gt;0,Source!BC43,1)*Source!I43),2)</f>
        <v>12.22</v>
      </c>
      <c r="J152" s="11">
        <f>Source!BC43</f>
        <v>5.4</v>
      </c>
      <c r="K152" s="18">
        <f>Source!P43</f>
        <v>65.99</v>
      </c>
    </row>
    <row r="153" spans="1:11" ht="12.75">
      <c r="A153" s="11"/>
      <c r="B153" s="11"/>
      <c r="C153" s="11" t="s">
        <v>291</v>
      </c>
      <c r="D153" s="11" t="s">
        <v>232</v>
      </c>
      <c r="E153" s="11">
        <f>Source!DN43</f>
        <v>110</v>
      </c>
      <c r="F153" s="11"/>
      <c r="G153" s="11"/>
      <c r="H153" s="11"/>
      <c r="I153" s="18">
        <f>ROUND((E153/100)*ROUND((Source!CT43/IF(Source!BA43&lt;&gt;0,Source!BA43,1)*Source!I43),2),2)</f>
        <v>4.47</v>
      </c>
      <c r="J153" s="11">
        <f>Source!AT43</f>
        <v>93</v>
      </c>
      <c r="K153" s="18">
        <f>Source!X43</f>
        <v>53.59</v>
      </c>
    </row>
    <row r="154" spans="1:11" ht="12.75">
      <c r="A154" s="11"/>
      <c r="B154" s="11"/>
      <c r="C154" s="11" t="s">
        <v>292</v>
      </c>
      <c r="D154" s="11" t="s">
        <v>232</v>
      </c>
      <c r="E154" s="11">
        <f>Source!DO43</f>
        <v>74</v>
      </c>
      <c r="F154" s="11"/>
      <c r="G154" s="11"/>
      <c r="H154" s="11"/>
      <c r="I154" s="18">
        <f>ROUND((E154/100)*ROUND((Source!CT43/IF(Source!BA43&lt;&gt;0,Source!BA43,1)*Source!I43),2),2)</f>
        <v>3</v>
      </c>
      <c r="J154" s="11">
        <f>Source!AU43</f>
        <v>44</v>
      </c>
      <c r="K154" s="18">
        <f>Source!Y43</f>
        <v>25.35</v>
      </c>
    </row>
    <row r="155" spans="1:11" ht="12.75">
      <c r="A155" s="11"/>
      <c r="B155" s="11"/>
      <c r="C155" s="11" t="s">
        <v>293</v>
      </c>
      <c r="D155" s="11" t="s">
        <v>232</v>
      </c>
      <c r="E155" s="11">
        <v>175</v>
      </c>
      <c r="F155" s="11"/>
      <c r="G155" s="11"/>
      <c r="H155" s="11"/>
      <c r="I155" s="18">
        <f>ROUND(ROUND((Source!CS43/IF(Source!BS43&lt;&gt;0,Source!BS43,1)*Source!I43),2)*1.75,2)</f>
        <v>0.09</v>
      </c>
      <c r="J155" s="11">
        <v>180</v>
      </c>
      <c r="K155" s="18">
        <f>ROUND(Source!R43*J155/100,2)</f>
        <v>1.21</v>
      </c>
    </row>
    <row r="156" spans="1:11" ht="12.75">
      <c r="A156" s="35"/>
      <c r="B156" s="35"/>
      <c r="C156" s="35" t="s">
        <v>231</v>
      </c>
      <c r="D156" s="35" t="s">
        <v>233</v>
      </c>
      <c r="E156" s="35">
        <f>Source!AQ43</f>
        <v>0.83</v>
      </c>
      <c r="F156" s="35"/>
      <c r="G156" s="36" t="str">
        <f>Source!DI43</f>
        <v>*0,4</v>
      </c>
      <c r="H156" s="35">
        <f>Source!AV43</f>
        <v>1.067</v>
      </c>
      <c r="I156" s="37">
        <f>ROUND(Source!U43,2)</f>
        <v>0.35</v>
      </c>
      <c r="J156" s="35"/>
      <c r="K156" s="35"/>
    </row>
    <row r="157" spans="9:24" ht="12.75">
      <c r="I157" s="38">
        <f>ROUND((Source!CT43/IF(Source!BA43&lt;&gt;0,Source!BA43,1)*Source!I43),2)+ROUND((Source!CR43/IF(Source!BB43&lt;&gt;0,Source!BB43,1)*Source!I43),2)+ROUND((Source!CQ43/IF(Source!BC43&lt;&gt;0,Source!BC43,1)*Source!I43),2)+SUM(I153:I155)</f>
        <v>24.029999999999998</v>
      </c>
      <c r="J157" s="12"/>
      <c r="K157" s="38">
        <f>Source!O43+SUM(K153:K155)</f>
        <v>205.3</v>
      </c>
      <c r="L157">
        <f>ROUND((Source!CT43/IF(Source!BA43&lt;&gt;0,Source!BA43,1)*Source!I43),2)</f>
        <v>4.06</v>
      </c>
      <c r="M157" s="9">
        <f>I157</f>
        <v>24.029999999999998</v>
      </c>
      <c r="N157" s="9">
        <f>K157</f>
        <v>205.3</v>
      </c>
      <c r="O157">
        <f>ROUND(IF(Source!BI43=1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24.03</v>
      </c>
      <c r="P157">
        <f>ROUND(IF(Source!BI43=2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0</v>
      </c>
      <c r="Q157">
        <f>ROUND(IF(Source!BI43=3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0</v>
      </c>
      <c r="R157">
        <f>ROUND(IF(Source!BI43=4,(ROUND((Source!CT43/IF(Source!BA43&lt;&gt;0,Source!BA43,1)*Source!I43),2)+ROUND((Source!CR43/IF(Source!BB43&lt;&gt;0,Source!BB43,1)*Source!I43),2)+ROUND((Source!CQ43/IF(Source!BC43&lt;&gt;0,Source!BC43,1)*Source!I43),2)+((Source!DN43/100)*ROUND((Source!CT43/IF(Source!BA43&lt;&gt;0,Source!BA43,1)*Source!I43),2))+((Source!DO43/100)*ROUND((Source!CT43/IF(Source!BA43&lt;&gt;0,Source!BA43,1)*Source!I43),2))+(ROUND((Source!CS43/IF(Source!BS43&lt;&gt;0,Source!BS43,1)*Source!I43),2)*1.75)),0),2)</f>
        <v>0</v>
      </c>
      <c r="U157">
        <f>IF(Source!BI43=1,Source!O43+Source!X43+Source!Y43+Source!R43*180/100,0)</f>
        <v>205.296</v>
      </c>
      <c r="V157">
        <f>IF(Source!BI43=2,Source!O43+Source!X43+Source!Y43+Source!R43*180/100,0)</f>
        <v>0</v>
      </c>
      <c r="W157">
        <f>IF(Source!BI43=3,Source!O43+Source!X43+Source!Y43+Source!R43*180/100,0)</f>
        <v>0</v>
      </c>
      <c r="X157">
        <f>IF(Source!BI43=4,Source!O43+Source!X43+Source!Y43+Source!R43*180/100,0)</f>
        <v>0</v>
      </c>
    </row>
    <row r="158" spans="1:25" ht="24">
      <c r="A158" s="31" t="str">
        <f>Source!E44</f>
        <v>13</v>
      </c>
      <c r="B158" s="31" t="str">
        <f>Source!F44</f>
        <v>3.16-21-4</v>
      </c>
      <c r="C158" s="17" t="str">
        <f>Source!G44</f>
        <v>УСТАНОВКА ВОРОНОК СЛИВНЫХ ДИАМЕТРОМ, ММ 150</v>
      </c>
      <c r="D158" s="32" t="str">
        <f>Source!H44</f>
        <v>шт.</v>
      </c>
      <c r="E158" s="11">
        <f>ROUND(Source!I44,6)</f>
        <v>1</v>
      </c>
      <c r="F158" s="11"/>
      <c r="G158" s="11"/>
      <c r="H158" s="11"/>
      <c r="I158" s="11"/>
      <c r="J158" s="11"/>
      <c r="K158" s="11"/>
      <c r="Y158">
        <v>21</v>
      </c>
    </row>
    <row r="159" spans="1:11" ht="12.75">
      <c r="A159" s="11"/>
      <c r="B159" s="11"/>
      <c r="C159" s="11" t="s">
        <v>287</v>
      </c>
      <c r="D159" s="11"/>
      <c r="E159" s="11"/>
      <c r="F159" s="18">
        <f>Source!AO44</f>
        <v>15.4</v>
      </c>
      <c r="G159" s="33" t="str">
        <f>Source!DG44</f>
        <v>*1,15</v>
      </c>
      <c r="H159" s="11">
        <f>Source!AV44</f>
        <v>1.067</v>
      </c>
      <c r="I159" s="18">
        <f>ROUND((Source!CT44/IF(Source!BA44&lt;&gt;0,Source!BA44,1)*Source!I44),2)</f>
        <v>18.9</v>
      </c>
      <c r="J159" s="11">
        <f>Source!BA44</f>
        <v>14.18</v>
      </c>
      <c r="K159" s="18">
        <f>Source!S44</f>
        <v>267.95</v>
      </c>
    </row>
    <row r="160" spans="1:11" ht="12.75">
      <c r="A160" s="11"/>
      <c r="B160" s="11"/>
      <c r="C160" s="11" t="s">
        <v>288</v>
      </c>
      <c r="D160" s="11"/>
      <c r="E160" s="11"/>
      <c r="F160" s="18">
        <f>Source!AM44</f>
        <v>0.74</v>
      </c>
      <c r="G160" s="33" t="str">
        <f>Source!DE44</f>
        <v>*1,25</v>
      </c>
      <c r="H160" s="11">
        <f>Source!AV44</f>
        <v>1.067</v>
      </c>
      <c r="I160" s="18">
        <f>ROUND((Source!CR44/IF(Source!BB44&lt;&gt;0,Source!BB44,1)*Source!I44),2)</f>
        <v>0.99</v>
      </c>
      <c r="J160" s="11">
        <f>Source!BB44</f>
        <v>8.08</v>
      </c>
      <c r="K160" s="18">
        <f>Source!Q44</f>
        <v>7.97</v>
      </c>
    </row>
    <row r="161" spans="1:12" ht="12.75">
      <c r="A161" s="11"/>
      <c r="B161" s="11"/>
      <c r="C161" s="11" t="s">
        <v>289</v>
      </c>
      <c r="D161" s="11"/>
      <c r="E161" s="11"/>
      <c r="F161" s="18">
        <f>Source!AN44</f>
        <v>0.18</v>
      </c>
      <c r="G161" s="33" t="str">
        <f>Source!DF44</f>
        <v>*1,25</v>
      </c>
      <c r="H161" s="11">
        <f>Source!AV44</f>
        <v>1.067</v>
      </c>
      <c r="I161" s="34" t="str">
        <f>CONCATENATE("(",TEXT(+ROUND((Source!CS44/IF(J161&lt;&gt;0,J161,1)*Source!I44),2),"0,00"),")")</f>
        <v>(0,24)</v>
      </c>
      <c r="J161" s="11">
        <f>Source!BS44</f>
        <v>14.18</v>
      </c>
      <c r="K161" s="34" t="str">
        <f>CONCATENATE("(",TEXT(+Source!R44,"0,00"),")")</f>
        <v>(3,40)</v>
      </c>
      <c r="L161">
        <f>ROUND(IF(J161&lt;&gt;0,Source!R44/J161,Source!R44),2)</f>
        <v>0.24</v>
      </c>
    </row>
    <row r="162" spans="1:11" ht="12.75">
      <c r="A162" s="11"/>
      <c r="B162" s="11"/>
      <c r="C162" s="11" t="s">
        <v>290</v>
      </c>
      <c r="D162" s="11"/>
      <c r="E162" s="11"/>
      <c r="F162" s="18">
        <f>Source!AL44</f>
        <v>16.79</v>
      </c>
      <c r="G162" s="11">
        <f>Source!DD44</f>
      </c>
      <c r="H162" s="11">
        <f>Source!AW44</f>
        <v>1</v>
      </c>
      <c r="I162" s="18">
        <f>ROUND((Source!CQ44/IF(Source!BC44&lt;&gt;0,Source!BC44,1)*Source!I44),2)</f>
        <v>16.79</v>
      </c>
      <c r="J162" s="11">
        <f>Source!BC44</f>
        <v>5.49</v>
      </c>
      <c r="K162" s="18">
        <f>Source!P44</f>
        <v>92.18</v>
      </c>
    </row>
    <row r="163" spans="1:25" ht="48">
      <c r="A163" s="31" t="str">
        <f>Source!E45</f>
        <v>13,1</v>
      </c>
      <c r="B163" s="31" t="str">
        <f>Source!F45</f>
        <v>1.7-1-10</v>
      </c>
      <c r="C163" s="17" t="str">
        <f>Source!G45</f>
        <v>ВОРОНКИ ДЛЯ СБОРА АТМОСФЕРНЫХ ОСАДКОВ ИЗ ОЦИНКОВАННОЙ СТАЛИ, ДИАМЕТР 160 ММ</v>
      </c>
      <c r="D163" s="32" t="str">
        <f>Source!H45</f>
        <v>шт.</v>
      </c>
      <c r="E163" s="11">
        <f>ROUND(Source!I45,6)</f>
        <v>1</v>
      </c>
      <c r="F163" s="18">
        <f>IF(Source!AL45=0,Source!AK45,Source!AL45)</f>
        <v>115.54</v>
      </c>
      <c r="G163" s="33">
        <f>Source!DD45</f>
      </c>
      <c r="H163" s="11">
        <f>Source!AW45</f>
        <v>1</v>
      </c>
      <c r="I163" s="18">
        <f>ROUND((Source!CR45/IF(Source!BB45&lt;&gt;0,Source!BB45,1)*Source!I45),2)+ROUND((Source!CQ45/IF(Source!BC45&lt;&gt;0,Source!BC45,1)*Source!I45),2)+ROUND((Source!CT45/IF(Source!BA45&lt;&gt;0,Source!BA45,1)*Source!I45),2)</f>
        <v>115.54</v>
      </c>
      <c r="J163" s="11">
        <f>Source!BC45</f>
        <v>2.29</v>
      </c>
      <c r="K163" s="18">
        <f>Source!O45+Source!X45+Source!Y45</f>
        <v>264.59</v>
      </c>
      <c r="O163">
        <f>IF(Source!BI45=1,(ROUND((Source!CR45/IF(Source!BB45&lt;&gt;0,Source!BB45,1)*Source!I45),2)+ROUND((Source!CQ45/IF(Source!BC45&lt;&gt;0,Source!BC45,1)*Source!I45),2)+ROUND((Source!CT45/IF(Source!BA45&lt;&gt;0,Source!BA45,1)*Source!I45),2)),0)</f>
        <v>115.54</v>
      </c>
      <c r="P163">
        <f>IF(Source!BI45=2,(ROUND((Source!CR45/IF(Source!BB45&lt;&gt;0,Source!BB45,1)*Source!I45),2)+ROUND((Source!CQ45/IF(Source!BC45&lt;&gt;0,Source!BC45,1)*Source!I45),2)+ROUND((Source!CT45/IF(Source!BA45&lt;&gt;0,Source!BA45,1)*Source!I45),2)),0)</f>
        <v>0</v>
      </c>
      <c r="Q163">
        <f>IF(Source!BI45=3,(ROUND((Source!CR45/IF(Source!BB45&lt;&gt;0,Source!BB45,1)*Source!I45),2)+ROUND((Source!CQ45/IF(Source!BC45&lt;&gt;0,Source!BC45,1)*Source!I45),2)+ROUND((Source!CT45/IF(Source!BA45&lt;&gt;0,Source!BA45,1)*Source!I45),2)),0)</f>
        <v>0</v>
      </c>
      <c r="R163">
        <f>IF(Source!BI45=4,(ROUND((Source!CR45/IF(Source!BB45&lt;&gt;0,Source!BB45,1)*Source!I45),2)+ROUND((Source!CQ45/IF(Source!BC45&lt;&gt;0,Source!BC45,1)*Source!I45),2)+ROUND((Source!CT45/IF(Source!BA45&lt;&gt;0,Source!BA45,1)*Source!I45),2)),0)</f>
        <v>0</v>
      </c>
      <c r="U163">
        <f>IF(Source!BI45=1,Source!O45+Source!X45+Source!Y45,0)</f>
        <v>264.59</v>
      </c>
      <c r="V163">
        <f>IF(Source!BI45=2,Source!O45+Source!X45+Source!Y45,0)</f>
        <v>0</v>
      </c>
      <c r="W163">
        <f>IF(Source!BI45=3,Source!O45+Source!X45+Source!Y45,0)</f>
        <v>0</v>
      </c>
      <c r="X163">
        <f>IF(Source!BI45=4,Source!O45+Source!X45+Source!Y45,0)</f>
        <v>0</v>
      </c>
      <c r="Y163">
        <v>22</v>
      </c>
    </row>
    <row r="164" spans="1:11" ht="12.75">
      <c r="A164" s="11"/>
      <c r="B164" s="11"/>
      <c r="C164" s="11" t="s">
        <v>291</v>
      </c>
      <c r="D164" s="11" t="s">
        <v>232</v>
      </c>
      <c r="E164" s="11">
        <f>Source!DN44</f>
        <v>110</v>
      </c>
      <c r="F164" s="11"/>
      <c r="G164" s="11"/>
      <c r="H164" s="11"/>
      <c r="I164" s="18">
        <f>ROUND((E164/100)*ROUND((Source!CT44/IF(Source!BA44&lt;&gt;0,Source!BA44,1)*Source!I44),2),2)</f>
        <v>20.79</v>
      </c>
      <c r="J164" s="11">
        <f>Source!AT44</f>
        <v>93</v>
      </c>
      <c r="K164" s="18">
        <f>Source!X44</f>
        <v>249.19</v>
      </c>
    </row>
    <row r="165" spans="1:11" ht="12.75">
      <c r="A165" s="11"/>
      <c r="B165" s="11"/>
      <c r="C165" s="11" t="s">
        <v>292</v>
      </c>
      <c r="D165" s="11" t="s">
        <v>232</v>
      </c>
      <c r="E165" s="11">
        <f>Source!DO44</f>
        <v>74</v>
      </c>
      <c r="F165" s="11"/>
      <c r="G165" s="11"/>
      <c r="H165" s="11"/>
      <c r="I165" s="18">
        <f>ROUND((E165/100)*ROUND((Source!CT44/IF(Source!BA44&lt;&gt;0,Source!BA44,1)*Source!I44),2),2)</f>
        <v>13.99</v>
      </c>
      <c r="J165" s="11">
        <f>Source!AU44</f>
        <v>44</v>
      </c>
      <c r="K165" s="18">
        <f>Source!Y44</f>
        <v>117.9</v>
      </c>
    </row>
    <row r="166" spans="1:11" ht="12.75">
      <c r="A166" s="11"/>
      <c r="B166" s="11"/>
      <c r="C166" s="11" t="s">
        <v>293</v>
      </c>
      <c r="D166" s="11" t="s">
        <v>232</v>
      </c>
      <c r="E166" s="11">
        <v>175</v>
      </c>
      <c r="F166" s="11"/>
      <c r="G166" s="11"/>
      <c r="H166" s="11"/>
      <c r="I166" s="18">
        <f>ROUND(ROUND((Source!CS44/IF(Source!BS44&lt;&gt;0,Source!BS44,1)*Source!I44),2)*1.75,2)</f>
        <v>0.42</v>
      </c>
      <c r="J166" s="11">
        <v>180</v>
      </c>
      <c r="K166" s="18">
        <f>ROUND(Source!R44*J166/100,2)</f>
        <v>6.12</v>
      </c>
    </row>
    <row r="167" spans="1:11" ht="12.75">
      <c r="A167" s="35"/>
      <c r="B167" s="35"/>
      <c r="C167" s="35" t="s">
        <v>231</v>
      </c>
      <c r="D167" s="35" t="s">
        <v>233</v>
      </c>
      <c r="E167" s="35">
        <f>Source!AQ44</f>
        <v>1.36</v>
      </c>
      <c r="F167" s="35"/>
      <c r="G167" s="36" t="str">
        <f>Source!DI44</f>
        <v>*1,15</v>
      </c>
      <c r="H167" s="35">
        <f>Source!AV44</f>
        <v>1.067</v>
      </c>
      <c r="I167" s="37">
        <f>ROUND(Source!U44,2)</f>
        <v>1.67</v>
      </c>
      <c r="J167" s="35"/>
      <c r="K167" s="35"/>
    </row>
    <row r="168" spans="9:24" ht="12.75">
      <c r="I168" s="38">
        <f>ROUND((Source!CT44/IF(Source!BA44&lt;&gt;0,Source!BA44,1)*Source!I44),2)+ROUND((Source!CR44/IF(Source!BB44&lt;&gt;0,Source!BB44,1)*Source!I44),2)+ROUND((Source!CQ44/IF(Source!BC44&lt;&gt;0,Source!BC44,1)*Source!I44),2)+SUM(I163:I166)</f>
        <v>187.42000000000002</v>
      </c>
      <c r="J168" s="12"/>
      <c r="K168" s="38">
        <f>Source!O44+SUM(K163:K166)</f>
        <v>1005.9</v>
      </c>
      <c r="L168">
        <f>ROUND((Source!CT44/IF(Source!BA44&lt;&gt;0,Source!BA44,1)*Source!I44),2)</f>
        <v>18.9</v>
      </c>
      <c r="M168" s="9">
        <f>I168</f>
        <v>187.42000000000002</v>
      </c>
      <c r="N168" s="9">
        <f>K168</f>
        <v>1005.9</v>
      </c>
      <c r="O168">
        <f>ROUND(IF(Source!BI44=1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71.88</v>
      </c>
      <c r="P168">
        <f>ROUND(IF(Source!BI44=2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0</v>
      </c>
      <c r="Q168">
        <f>ROUND(IF(Source!BI44=3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0</v>
      </c>
      <c r="R168">
        <f>ROUND(IF(Source!BI44=4,(ROUND((Source!CT44/IF(Source!BA44&lt;&gt;0,Source!BA44,1)*Source!I44),2)+ROUND((Source!CR44/IF(Source!BB44&lt;&gt;0,Source!BB44,1)*Source!I44),2)+ROUND((Source!CQ44/IF(Source!BC44&lt;&gt;0,Source!BC44,1)*Source!I44),2)+((Source!DN44/100)*ROUND((Source!CT44/IF(Source!BA44&lt;&gt;0,Source!BA44,1)*Source!I44),2))+((Source!DO44/100)*ROUND((Source!CT44/IF(Source!BA44&lt;&gt;0,Source!BA44,1)*Source!I44),2))+(ROUND((Source!CS44/IF(Source!BS44&lt;&gt;0,Source!BS44,1)*Source!I44),2)*1.75)),0),2)</f>
        <v>0</v>
      </c>
      <c r="U168">
        <f>IF(Source!BI44=1,Source!O44+Source!X44+Source!Y44+Source!R44*180/100,0)</f>
        <v>741.31</v>
      </c>
      <c r="V168">
        <f>IF(Source!BI44=2,Source!O44+Source!X44+Source!Y44+Source!R44*180/100,0)</f>
        <v>0</v>
      </c>
      <c r="W168">
        <f>IF(Source!BI44=3,Source!O44+Source!X44+Source!Y44+Source!R44*180/100,0)</f>
        <v>0</v>
      </c>
      <c r="X168">
        <f>IF(Source!BI44=4,Source!O44+Source!X44+Source!Y44+Source!R44*180/100,0)</f>
        <v>0</v>
      </c>
    </row>
    <row r="169" spans="1:25" ht="36">
      <c r="A169" s="31" t="str">
        <f>Source!E46</f>
        <v>14</v>
      </c>
      <c r="B169" s="31" t="str">
        <f>Source!F46</f>
        <v>6.69-19-1</v>
      </c>
      <c r="C169" s="17" t="str">
        <f>Source!G46</f>
        <v>ПОГРУЗКА И ВЫГРУЗКА ВРУЧНУЮ СТРОИТЕЛЬНОГО МУСОРА НА ТРАНСПОРТНЫЕ СРЕДСТВА</v>
      </c>
      <c r="D169" s="32" t="str">
        <f>Source!H46</f>
        <v>т</v>
      </c>
      <c r="E169" s="11">
        <f>ROUND(Source!I46,6)</f>
        <v>19.015</v>
      </c>
      <c r="F169" s="11"/>
      <c r="G169" s="11"/>
      <c r="H169" s="11"/>
      <c r="I169" s="11"/>
      <c r="J169" s="11"/>
      <c r="K169" s="11"/>
      <c r="Y169">
        <v>23</v>
      </c>
    </row>
    <row r="170" spans="1:11" ht="12.75">
      <c r="A170" s="11"/>
      <c r="B170" s="11"/>
      <c r="C170" s="11" t="s">
        <v>287</v>
      </c>
      <c r="D170" s="11"/>
      <c r="E170" s="11"/>
      <c r="F170" s="18">
        <f>Source!AO46</f>
        <v>9.62</v>
      </c>
      <c r="G170" s="33">
        <f>Source!DG46</f>
      </c>
      <c r="H170" s="11">
        <f>Source!AV46</f>
        <v>1.047</v>
      </c>
      <c r="I170" s="18">
        <f>ROUND((Source!CT46/IF(Source!BA46&lt;&gt;0,Source!BA46,1)*Source!I46),2)</f>
        <v>191.52</v>
      </c>
      <c r="J170" s="11">
        <f>Source!BA46</f>
        <v>14.18</v>
      </c>
      <c r="K170" s="18">
        <f>Source!S46</f>
        <v>2715.78</v>
      </c>
    </row>
    <row r="171" spans="1:11" ht="12.75">
      <c r="A171" s="11"/>
      <c r="B171" s="11"/>
      <c r="C171" s="11" t="s">
        <v>288</v>
      </c>
      <c r="D171" s="11"/>
      <c r="E171" s="11"/>
      <c r="F171" s="18">
        <f>Source!AM46</f>
        <v>0</v>
      </c>
      <c r="G171" s="33">
        <f>Source!DE46</f>
      </c>
      <c r="H171" s="11">
        <f>Source!AV46</f>
        <v>1.047</v>
      </c>
      <c r="I171" s="18">
        <f>ROUND((Source!CR46/IF(Source!BB46&lt;&gt;0,Source!BB46,1)*Source!I46),2)</f>
        <v>0</v>
      </c>
      <c r="J171" s="11">
        <f>Source!BB46</f>
        <v>1</v>
      </c>
      <c r="K171" s="18">
        <f>Source!Q46</f>
        <v>0</v>
      </c>
    </row>
    <row r="172" spans="1:12" ht="12.75">
      <c r="A172" s="11"/>
      <c r="B172" s="11"/>
      <c r="C172" s="11" t="s">
        <v>289</v>
      </c>
      <c r="D172" s="11"/>
      <c r="E172" s="11"/>
      <c r="F172" s="18">
        <f>Source!AN46</f>
        <v>0</v>
      </c>
      <c r="G172" s="33">
        <f>Source!DF46</f>
      </c>
      <c r="H172" s="11">
        <f>Source!AV46</f>
        <v>1.047</v>
      </c>
      <c r="I172" s="34" t="str">
        <f>CONCATENATE("(",TEXT(+ROUND((Source!CS46/IF(J172&lt;&gt;0,J172,1)*Source!I46),2),"0,00"),")")</f>
        <v>(0,00)</v>
      </c>
      <c r="J172" s="11">
        <f>Source!BS46</f>
        <v>14.18</v>
      </c>
      <c r="K172" s="34" t="str">
        <f>CONCATENATE("(",TEXT(+Source!R46,"0,00"),")")</f>
        <v>(0,00)</v>
      </c>
      <c r="L172">
        <f>ROUND(IF(J172&lt;&gt;0,Source!R46/J172,Source!R46),2)</f>
        <v>0</v>
      </c>
    </row>
    <row r="173" spans="1:11" ht="12.75">
      <c r="A173" s="11"/>
      <c r="B173" s="11"/>
      <c r="C173" s="11" t="s">
        <v>290</v>
      </c>
      <c r="D173" s="11"/>
      <c r="E173" s="11"/>
      <c r="F173" s="18">
        <f>Source!AL46</f>
        <v>0</v>
      </c>
      <c r="G173" s="11">
        <f>Source!DD46</f>
      </c>
      <c r="H173" s="11">
        <f>Source!AW46</f>
        <v>1.002</v>
      </c>
      <c r="I173" s="18">
        <f>ROUND((Source!CQ46/IF(Source!BC46&lt;&gt;0,Source!BC46,1)*Source!I46),2)</f>
        <v>0</v>
      </c>
      <c r="J173" s="11">
        <f>Source!BC46</f>
        <v>1</v>
      </c>
      <c r="K173" s="18">
        <f>Source!P46</f>
        <v>0</v>
      </c>
    </row>
    <row r="174" spans="1:11" ht="12.75">
      <c r="A174" s="11"/>
      <c r="B174" s="11"/>
      <c r="C174" s="11" t="s">
        <v>291</v>
      </c>
      <c r="D174" s="11" t="s">
        <v>232</v>
      </c>
      <c r="E174" s="11">
        <f>Source!DN46</f>
        <v>91</v>
      </c>
      <c r="F174" s="11"/>
      <c r="G174" s="11"/>
      <c r="H174" s="11"/>
      <c r="I174" s="18">
        <f>ROUND((E174/100)*ROUND((Source!CT46/IF(Source!BA46&lt;&gt;0,Source!BA46,1)*Source!I46),2),2)</f>
        <v>174.28</v>
      </c>
      <c r="J174" s="11">
        <f>Source!AT46</f>
        <v>77</v>
      </c>
      <c r="K174" s="18">
        <f>Source!X46</f>
        <v>2091.15</v>
      </c>
    </row>
    <row r="175" spans="1:11" ht="12.75">
      <c r="A175" s="11"/>
      <c r="B175" s="11"/>
      <c r="C175" s="11" t="s">
        <v>292</v>
      </c>
      <c r="D175" s="11" t="s">
        <v>232</v>
      </c>
      <c r="E175" s="11">
        <f>Source!DO46</f>
        <v>70</v>
      </c>
      <c r="F175" s="11"/>
      <c r="G175" s="11"/>
      <c r="H175" s="11"/>
      <c r="I175" s="18">
        <f>ROUND((E175/100)*ROUND((Source!CT46/IF(Source!BA46&lt;&gt;0,Source!BA46,1)*Source!I46),2),2)</f>
        <v>134.06</v>
      </c>
      <c r="J175" s="11">
        <f>Source!AU46</f>
        <v>44</v>
      </c>
      <c r="K175" s="18">
        <f>Source!Y46</f>
        <v>1194.94</v>
      </c>
    </row>
    <row r="176" spans="1:11" ht="12.75">
      <c r="A176" s="11"/>
      <c r="B176" s="11"/>
      <c r="C176" s="11" t="s">
        <v>293</v>
      </c>
      <c r="D176" s="11" t="s">
        <v>232</v>
      </c>
      <c r="E176" s="11">
        <v>175</v>
      </c>
      <c r="F176" s="11"/>
      <c r="G176" s="11"/>
      <c r="H176" s="11"/>
      <c r="I176" s="18">
        <f>ROUND(ROUND((Source!CS46/IF(Source!BS46&lt;&gt;0,Source!BS46,1)*Source!I46),2)*1.75,2)</f>
        <v>0</v>
      </c>
      <c r="J176" s="11">
        <v>180</v>
      </c>
      <c r="K176" s="18">
        <f>ROUND(Source!R46*J176/100,2)</f>
        <v>0</v>
      </c>
    </row>
    <row r="177" spans="1:11" ht="12.75">
      <c r="A177" s="35"/>
      <c r="B177" s="35"/>
      <c r="C177" s="35" t="s">
        <v>231</v>
      </c>
      <c r="D177" s="35" t="s">
        <v>233</v>
      </c>
      <c r="E177" s="35">
        <f>Source!AQ46</f>
        <v>1.02</v>
      </c>
      <c r="F177" s="35"/>
      <c r="G177" s="36">
        <f>Source!DI46</f>
      </c>
      <c r="H177" s="35">
        <f>Source!AV46</f>
        <v>1.047</v>
      </c>
      <c r="I177" s="37">
        <f>ROUND(Source!U46,2)</f>
        <v>20.31</v>
      </c>
      <c r="J177" s="35"/>
      <c r="K177" s="35"/>
    </row>
    <row r="178" spans="9:24" ht="12.75">
      <c r="I178" s="38">
        <f>ROUND((Source!CT46/IF(Source!BA46&lt;&gt;0,Source!BA46,1)*Source!I46),2)+ROUND((Source!CR46/IF(Source!BB46&lt;&gt;0,Source!BB46,1)*Source!I46),2)+ROUND((Source!CQ46/IF(Source!BC46&lt;&gt;0,Source!BC46,1)*Source!I46),2)+SUM(I174:I176)</f>
        <v>499.86</v>
      </c>
      <c r="J178" s="12"/>
      <c r="K178" s="38">
        <f>Source!O46+SUM(K174:K176)</f>
        <v>6001.870000000001</v>
      </c>
      <c r="L178">
        <f>ROUND((Source!CT46/IF(Source!BA46&lt;&gt;0,Source!BA46,1)*Source!I46),2)</f>
        <v>191.52</v>
      </c>
      <c r="M178" s="9">
        <f>I178</f>
        <v>499.86</v>
      </c>
      <c r="N178" s="9">
        <f>K178</f>
        <v>6001.870000000001</v>
      </c>
      <c r="O178">
        <f>ROUND(IF(Source!BI46=1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499.87</v>
      </c>
      <c r="P178">
        <f>ROUND(IF(Source!BI46=2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0</v>
      </c>
      <c r="Q178">
        <f>ROUND(IF(Source!BI46=3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0</v>
      </c>
      <c r="R178">
        <f>ROUND(IF(Source!BI46=4,(ROUND((Source!CT46/IF(Source!BA46&lt;&gt;0,Source!BA46,1)*Source!I46),2)+ROUND((Source!CR46/IF(Source!BB46&lt;&gt;0,Source!BB46,1)*Source!I46),2)+ROUND((Source!CQ46/IF(Source!BC46&lt;&gt;0,Source!BC46,1)*Source!I46),2)+((Source!DN46/100)*ROUND((Source!CT46/IF(Source!BA46&lt;&gt;0,Source!BA46,1)*Source!I46),2))+((Source!DO46/100)*ROUND((Source!CT46/IF(Source!BA46&lt;&gt;0,Source!BA46,1)*Source!I46),2))+(ROUND((Source!CS46/IF(Source!BS46&lt;&gt;0,Source!BS46,1)*Source!I46),2)*1.75)),0),2)</f>
        <v>0</v>
      </c>
      <c r="U178">
        <f>IF(Source!BI46=1,Source!O46+Source!X46+Source!Y46+Source!R46*180/100,0)</f>
        <v>6001.870000000001</v>
      </c>
      <c r="V178">
        <f>IF(Source!BI46=2,Source!O46+Source!X46+Source!Y46+Source!R46*180/100,0)</f>
        <v>0</v>
      </c>
      <c r="W178">
        <f>IF(Source!BI46=3,Source!O46+Source!X46+Source!Y46+Source!R46*180/100,0)</f>
        <v>0</v>
      </c>
      <c r="X178">
        <f>IF(Source!BI46=4,Source!O46+Source!X46+Source!Y46+Source!R46*180/100,0)</f>
        <v>0</v>
      </c>
    </row>
    <row r="179" spans="1:25" ht="60">
      <c r="A179" s="31" t="str">
        <f>Source!E47</f>
        <v>15</v>
      </c>
      <c r="B179" s="31" t="str">
        <f>Source!F47</f>
        <v>15.1-45-5</v>
      </c>
      <c r="C179" s="17" t="str">
        <f>Source!G47</f>
        <v>ПЕРЕВОЗКА СТРОИТЕЛЬНОГО МУСОРА НА РАССТОЯНИЕ 45 КМ АВТОСАМОСВАЛАМИ ГРУЗОПОДЪЕМНОСТЬЮ ДО 16 Т, ПЕРЕВОЗКА ДО 45 КМ</v>
      </c>
      <c r="D179" s="32" t="str">
        <f>Source!H47</f>
        <v>т</v>
      </c>
      <c r="E179" s="11">
        <f>ROUND(Source!I47,6)</f>
        <v>19.015</v>
      </c>
      <c r="F179" s="11"/>
      <c r="G179" s="11"/>
      <c r="H179" s="11"/>
      <c r="I179" s="11"/>
      <c r="J179" s="11"/>
      <c r="K179" s="11"/>
      <c r="Y179">
        <v>24</v>
      </c>
    </row>
    <row r="180" spans="1:11" ht="12.75">
      <c r="A180" s="11"/>
      <c r="B180" s="11"/>
      <c r="C180" s="11" t="s">
        <v>287</v>
      </c>
      <c r="D180" s="11"/>
      <c r="E180" s="11"/>
      <c r="F180" s="18">
        <f>Source!AO47</f>
        <v>0</v>
      </c>
      <c r="G180" s="33">
        <f>Source!DG47</f>
      </c>
      <c r="H180" s="11">
        <f>Source!AV47</f>
        <v>1</v>
      </c>
      <c r="I180" s="18">
        <f>ROUND((Source!CT47/IF(Source!BA47&lt;&gt;0,Source!BA47,1)*Source!I47),2)</f>
        <v>0</v>
      </c>
      <c r="J180" s="11">
        <f>Source!BA47</f>
        <v>1</v>
      </c>
      <c r="K180" s="18">
        <f>Source!S47</f>
        <v>0</v>
      </c>
    </row>
    <row r="181" spans="1:11" ht="12.75">
      <c r="A181" s="11"/>
      <c r="B181" s="11"/>
      <c r="C181" s="11" t="s">
        <v>288</v>
      </c>
      <c r="D181" s="11"/>
      <c r="E181" s="11"/>
      <c r="F181" s="18">
        <f>Source!AM47</f>
        <v>89.88</v>
      </c>
      <c r="G181" s="33">
        <f>Source!DE47</f>
      </c>
      <c r="H181" s="11">
        <f>Source!AV47</f>
        <v>1</v>
      </c>
      <c r="I181" s="18">
        <f>ROUND((Source!CR47/IF(Source!BB47&lt;&gt;0,Source!BB47,1)*Source!I47),2)</f>
        <v>1709.07</v>
      </c>
      <c r="J181" s="11">
        <f>Source!BB47</f>
        <v>4.92</v>
      </c>
      <c r="K181" s="18">
        <f>Source!Q47</f>
        <v>8408.62</v>
      </c>
    </row>
    <row r="182" spans="1:12" ht="12.75">
      <c r="A182" s="11"/>
      <c r="B182" s="11"/>
      <c r="C182" s="11" t="s">
        <v>289</v>
      </c>
      <c r="D182" s="11"/>
      <c r="E182" s="11"/>
      <c r="F182" s="18">
        <f>Source!AN47</f>
        <v>0</v>
      </c>
      <c r="G182" s="33">
        <f>Source!DF47</f>
      </c>
      <c r="H182" s="11">
        <f>Source!AV47</f>
        <v>1</v>
      </c>
      <c r="I182" s="34" t="str">
        <f>CONCATENATE("(",TEXT(+ROUND((Source!CS47/IF(J182&lt;&gt;0,J182,1)*Source!I47),2),"0,00"),")")</f>
        <v>(0,00)</v>
      </c>
      <c r="J182" s="11">
        <f>Source!BS47</f>
        <v>1</v>
      </c>
      <c r="K182" s="34" t="str">
        <f>CONCATENATE("(",TEXT(+Source!R47,"0,00"),")")</f>
        <v>(0,00)</v>
      </c>
      <c r="L182">
        <f>ROUND(IF(J182&lt;&gt;0,Source!R47/J182,Source!R47),2)</f>
        <v>0</v>
      </c>
    </row>
    <row r="183" spans="1:11" ht="12.75">
      <c r="A183" s="11"/>
      <c r="B183" s="11"/>
      <c r="C183" s="11" t="s">
        <v>290</v>
      </c>
      <c r="D183" s="11"/>
      <c r="E183" s="11"/>
      <c r="F183" s="18">
        <f>Source!AL47</f>
        <v>0</v>
      </c>
      <c r="G183" s="11">
        <f>Source!DD47</f>
      </c>
      <c r="H183" s="11">
        <f>Source!AW47</f>
        <v>1</v>
      </c>
      <c r="I183" s="18">
        <f>ROUND((Source!CQ47/IF(Source!BC47&lt;&gt;0,Source!BC47,1)*Source!I47),2)</f>
        <v>0</v>
      </c>
      <c r="J183" s="11">
        <f>Source!BC47</f>
        <v>1</v>
      </c>
      <c r="K183" s="18">
        <f>Source!P47</f>
        <v>0</v>
      </c>
    </row>
    <row r="184" spans="1:11" ht="12.75">
      <c r="A184" s="11"/>
      <c r="B184" s="11"/>
      <c r="C184" s="11" t="s">
        <v>291</v>
      </c>
      <c r="D184" s="11" t="s">
        <v>232</v>
      </c>
      <c r="E184" s="11">
        <f>Source!DN47</f>
        <v>0</v>
      </c>
      <c r="F184" s="11"/>
      <c r="G184" s="11"/>
      <c r="H184" s="11"/>
      <c r="I184" s="18">
        <f>ROUND((E184/100)*ROUND((Source!CT47/IF(Source!BA47&lt;&gt;0,Source!BA47,1)*Source!I47),2),2)</f>
        <v>0</v>
      </c>
      <c r="J184" s="11">
        <f>Source!AT47</f>
        <v>0</v>
      </c>
      <c r="K184" s="18">
        <f>Source!X47</f>
        <v>0</v>
      </c>
    </row>
    <row r="185" spans="1:11" ht="12.75">
      <c r="A185" s="11"/>
      <c r="B185" s="11"/>
      <c r="C185" s="11" t="s">
        <v>292</v>
      </c>
      <c r="D185" s="11" t="s">
        <v>232</v>
      </c>
      <c r="E185" s="11">
        <f>Source!DO47</f>
        <v>0</v>
      </c>
      <c r="F185" s="11"/>
      <c r="G185" s="11"/>
      <c r="H185" s="11"/>
      <c r="I185" s="18">
        <f>ROUND((E185/100)*ROUND((Source!CT47/IF(Source!BA47&lt;&gt;0,Source!BA47,1)*Source!I47),2),2)</f>
        <v>0</v>
      </c>
      <c r="J185" s="11">
        <f>Source!AU47</f>
        <v>0</v>
      </c>
      <c r="K185" s="18">
        <f>Source!Y47</f>
        <v>0</v>
      </c>
    </row>
    <row r="186" spans="1:11" ht="12.75">
      <c r="A186" s="11"/>
      <c r="B186" s="11"/>
      <c r="C186" s="11" t="s">
        <v>293</v>
      </c>
      <c r="D186" s="11" t="s">
        <v>232</v>
      </c>
      <c r="E186" s="11">
        <v>175</v>
      </c>
      <c r="F186" s="11"/>
      <c r="G186" s="11"/>
      <c r="H186" s="11"/>
      <c r="I186" s="18">
        <f>ROUND(ROUND((Source!CS47/IF(Source!BS47&lt;&gt;0,Source!BS47,1)*Source!I47),2)*1.75,2)</f>
        <v>0</v>
      </c>
      <c r="J186" s="11">
        <v>180</v>
      </c>
      <c r="K186" s="18">
        <f>ROUND(Source!R47*J186/100,2)</f>
        <v>0</v>
      </c>
    </row>
    <row r="187" spans="1:11" ht="12.75">
      <c r="A187" s="35"/>
      <c r="B187" s="35"/>
      <c r="C187" s="35" t="s">
        <v>231</v>
      </c>
      <c r="D187" s="35" t="s">
        <v>233</v>
      </c>
      <c r="E187" s="35">
        <f>Source!AQ47</f>
        <v>0</v>
      </c>
      <c r="F187" s="35"/>
      <c r="G187" s="36">
        <f>Source!DI47</f>
      </c>
      <c r="H187" s="35">
        <f>Source!AV47</f>
        <v>1</v>
      </c>
      <c r="I187" s="37">
        <f>ROUND(Source!U47,2)</f>
        <v>0</v>
      </c>
      <c r="J187" s="35"/>
      <c r="K187" s="35"/>
    </row>
    <row r="188" spans="9:24" ht="12.75">
      <c r="I188" s="38">
        <f>ROUND((Source!CT47/IF(Source!BA47&lt;&gt;0,Source!BA47,1)*Source!I47),2)+ROUND((Source!CR47/IF(Source!BB47&lt;&gt;0,Source!BB47,1)*Source!I47),2)+ROUND((Source!CQ47/IF(Source!BC47&lt;&gt;0,Source!BC47,1)*Source!I47),2)+SUM(I184:I186)</f>
        <v>1709.07</v>
      </c>
      <c r="J188" s="12"/>
      <c r="K188" s="38">
        <f>Source!O47+SUM(K184:K186)</f>
        <v>8408.62</v>
      </c>
      <c r="L188">
        <f>ROUND((Source!CT47/IF(Source!BA47&lt;&gt;0,Source!BA47,1)*Source!I47),2)</f>
        <v>0</v>
      </c>
      <c r="M188" s="9">
        <f>I188</f>
        <v>1709.07</v>
      </c>
      <c r="N188" s="9">
        <f>K188</f>
        <v>8408.62</v>
      </c>
      <c r="O188">
        <f>ROUND(IF(Source!BI47=1,(ROUND((Source!CT47/IF(Source!BA47&lt;&gt;0,Source!BA47,1)*Source!I47),2)+ROUND((Source!CR47/IF(Source!BB47&lt;&gt;0,Source!BB47,1)*Source!I47),2)+ROUND((Source!CQ47/IF(Source!BC47&lt;&gt;0,Source!BC47,1)*Source!I47),2)+((Source!DN47/100)*ROUND((Source!CT47/IF(Source!BA47&lt;&gt;0,Source!BA47,1)*Source!I47),2))+((Source!DO47/100)*ROUND((Source!CT47/IF(Source!BA47&lt;&gt;0,Source!BA47,1)*Source!I47),2))+(ROUND((Source!CS47/IF(Source!BS47&lt;&gt;0,Source!BS47,1)*Source!I47),2)*1.75)),0),2)</f>
        <v>0</v>
      </c>
      <c r="P188">
        <f>ROUND(IF(Source!BI47=2,(ROUND((Source!CT47/IF(Source!BA47&lt;&gt;0,Source!BA47,1)*Source!I47),2)+ROUND((Source!CR47/IF(Source!BB47&lt;&gt;0,Source!BB47,1)*Source!I47),2)+ROUND((Source!CQ47/IF(Source!BC47&lt;&gt;0,Source!BC47,1)*Source!I47),2)+((Source!DN47/100)*ROUND((Source!CT47/IF(Source!BA47&lt;&gt;0,Source!BA47,1)*Source!I47),2))+((Source!DO47/100)*ROUND((Source!CT47/IF(Source!BA47&lt;&gt;0,Source!BA47,1)*Source!I47),2))+(ROUND((Source!CS47/IF(Source!BS47&lt;&gt;0,Source!BS47,1)*Source!I47),2)*1.75)),0),2)</f>
        <v>0</v>
      </c>
      <c r="Q188">
        <f>ROUND(IF(Source!BI47=3,(ROUND((Source!CT47/IF(Source!BA47&lt;&gt;0,Source!BA47,1)*Source!I47),2)+ROUND((Source!CR47/IF(Source!BB47&lt;&gt;0,Source!BB47,1)*Source!I47),2)+ROUND((Source!CQ47/IF(Source!BC47&lt;&gt;0,Source!BC47,1)*Source!I47),2)+((Source!DN47/100)*ROUND((Source!CT47/IF(Source!BA47&lt;&gt;0,Source!BA47,1)*Source!I47),2))+((Source!DO47/100)*ROUND((Source!CT47/IF(Source!BA47&lt;&gt;0,Source!BA47,1)*Source!I47),2))+(ROUND((Source!CS47/IF(Source!BS47&lt;&gt;0,Source!BS47,1)*Source!I47),2)*1.75)),0),2)</f>
        <v>0</v>
      </c>
      <c r="R188">
        <f>ROUND(IF(Source!BI47=4,(ROUND((Source!CT47/IF(Source!BA47&lt;&gt;0,Source!BA47,1)*Source!I47),2)+ROUND((Source!CR47/IF(Source!BB47&lt;&gt;0,Source!BB47,1)*Source!I47),2)+ROUND((Source!CQ47/IF(Source!BC47&lt;&gt;0,Source!BC47,1)*Source!I47),2)+((Source!DN47/100)*ROUND((Source!CT47/IF(Source!BA47&lt;&gt;0,Source!BA47,1)*Source!I47),2))+((Source!DO47/100)*ROUND((Source!CT47/IF(Source!BA47&lt;&gt;0,Source!BA47,1)*Source!I47),2))+(ROUND((Source!CS47/IF(Source!BS47&lt;&gt;0,Source!BS47,1)*Source!I47),2)*1.75)),0),2)</f>
        <v>1709.07</v>
      </c>
      <c r="U188">
        <f>IF(Source!BI47=1,Source!O47+Source!X47+Source!Y47+Source!R47*180/100,0)</f>
        <v>0</v>
      </c>
      <c r="V188">
        <f>IF(Source!BI47=2,Source!O47+Source!X47+Source!Y47+Source!R47*180/100,0)</f>
        <v>0</v>
      </c>
      <c r="W188">
        <f>IF(Source!BI47=3,Source!O47+Source!X47+Source!Y47+Source!R47*180/100,0)</f>
        <v>0</v>
      </c>
      <c r="X188">
        <f>IF(Source!BI47=4,Source!O47+Source!X47+Source!Y47+Source!R47*180/100,0)</f>
        <v>8408.62</v>
      </c>
    </row>
    <row r="189" spans="1:25" ht="12.75">
      <c r="A189" s="31" t="str">
        <f>Source!E48</f>
        <v>16</v>
      </c>
      <c r="B189" s="31" t="str">
        <f>Source!F48</f>
        <v>11-01-036-1</v>
      </c>
      <c r="C189" s="17">
        <f>Source!G48</f>
      </c>
      <c r="D189" s="32">
        <f>Source!H48</f>
      </c>
      <c r="E189" s="11">
        <f>ROUND(Source!I48,6)</f>
        <v>0</v>
      </c>
      <c r="F189" s="11"/>
      <c r="G189" s="11"/>
      <c r="H189" s="11"/>
      <c r="I189" s="11"/>
      <c r="J189" s="11"/>
      <c r="K189" s="11"/>
      <c r="Y189">
        <v>25</v>
      </c>
    </row>
    <row r="190" spans="1:11" ht="12.75">
      <c r="A190" s="11"/>
      <c r="B190" s="11"/>
      <c r="C190" s="11" t="s">
        <v>287</v>
      </c>
      <c r="D190" s="11"/>
      <c r="E190" s="11"/>
      <c r="F190" s="18">
        <f>Source!AO48</f>
        <v>0</v>
      </c>
      <c r="G190" s="33">
        <f>Source!DG48</f>
      </c>
      <c r="H190" s="11">
        <f>Source!AV48</f>
        <v>1</v>
      </c>
      <c r="I190" s="18">
        <f>ROUND((Source!CT48/IF(Source!BA48&lt;&gt;0,Source!BA48,1)*Source!I48),2)</f>
        <v>0</v>
      </c>
      <c r="J190" s="11">
        <f>Source!BA48</f>
        <v>1</v>
      </c>
      <c r="K190" s="18">
        <f>Source!S48</f>
        <v>0</v>
      </c>
    </row>
    <row r="191" spans="1:11" ht="12.75">
      <c r="A191" s="11"/>
      <c r="B191" s="11"/>
      <c r="C191" s="11" t="s">
        <v>288</v>
      </c>
      <c r="D191" s="11"/>
      <c r="E191" s="11"/>
      <c r="F191" s="18">
        <f>Source!AM48</f>
        <v>0</v>
      </c>
      <c r="G191" s="33">
        <f>Source!DE48</f>
      </c>
      <c r="H191" s="11">
        <f>Source!AV48</f>
        <v>1</v>
      </c>
      <c r="I191" s="18">
        <f>ROUND((Source!CR48/IF(Source!BB48&lt;&gt;0,Source!BB48,1)*Source!I48),2)</f>
        <v>0</v>
      </c>
      <c r="J191" s="11">
        <f>Source!BB48</f>
        <v>1</v>
      </c>
      <c r="K191" s="18">
        <f>Source!Q48</f>
        <v>0</v>
      </c>
    </row>
    <row r="192" spans="1:12" ht="12.75">
      <c r="A192" s="11"/>
      <c r="B192" s="11"/>
      <c r="C192" s="11" t="s">
        <v>289</v>
      </c>
      <c r="D192" s="11"/>
      <c r="E192" s="11"/>
      <c r="F192" s="18">
        <f>Source!AN48</f>
        <v>0</v>
      </c>
      <c r="G192" s="33">
        <f>Source!DF48</f>
      </c>
      <c r="H192" s="11">
        <f>Source!AV48</f>
        <v>1</v>
      </c>
      <c r="I192" s="34" t="str">
        <f>CONCATENATE("(",TEXT(+ROUND((Source!CS48/IF(J192&lt;&gt;0,J192,1)*Source!I48),2),"0,00"),")")</f>
        <v>(0,00)</v>
      </c>
      <c r="J192" s="11">
        <f>Source!BS48</f>
        <v>1</v>
      </c>
      <c r="K192" s="34" t="str">
        <f>CONCATENATE("(",TEXT(+Source!R48,"0,00"),")")</f>
        <v>(0,00)</v>
      </c>
      <c r="L192">
        <f>ROUND(IF(J192&lt;&gt;0,Source!R48/J192,Source!R48),2)</f>
        <v>0</v>
      </c>
    </row>
    <row r="193" spans="1:11" ht="12.75">
      <c r="A193" s="11"/>
      <c r="B193" s="11"/>
      <c r="C193" s="11" t="s">
        <v>290</v>
      </c>
      <c r="D193" s="11"/>
      <c r="E193" s="11"/>
      <c r="F193" s="18">
        <f>Source!AL48</f>
        <v>0</v>
      </c>
      <c r="G193" s="11">
        <f>Source!DD48</f>
      </c>
      <c r="H193" s="11">
        <f>Source!AW48</f>
        <v>1</v>
      </c>
      <c r="I193" s="18">
        <f>ROUND((Source!CQ48/IF(Source!BC48&lt;&gt;0,Source!BC48,1)*Source!I48),2)</f>
        <v>0</v>
      </c>
      <c r="J193" s="11">
        <f>Source!BC48</f>
        <v>1</v>
      </c>
      <c r="K193" s="18">
        <f>Source!P48</f>
        <v>0</v>
      </c>
    </row>
    <row r="194" spans="1:11" ht="12.75">
      <c r="A194" s="11"/>
      <c r="B194" s="11"/>
      <c r="C194" s="11" t="s">
        <v>291</v>
      </c>
      <c r="D194" s="11" t="s">
        <v>232</v>
      </c>
      <c r="E194" s="11">
        <f>Source!DN48</f>
        <v>0</v>
      </c>
      <c r="F194" s="11"/>
      <c r="G194" s="11"/>
      <c r="H194" s="11"/>
      <c r="I194" s="18">
        <f>ROUND((E194/100)*ROUND((Source!CT48/IF(Source!BA48&lt;&gt;0,Source!BA48,1)*Source!I48),2),2)</f>
        <v>0</v>
      </c>
      <c r="J194" s="11">
        <f>Source!AT48</f>
        <v>0</v>
      </c>
      <c r="K194" s="18">
        <f>Source!X48</f>
        <v>0</v>
      </c>
    </row>
    <row r="195" spans="1:11" ht="12.75">
      <c r="A195" s="11"/>
      <c r="B195" s="11"/>
      <c r="C195" s="11" t="s">
        <v>292</v>
      </c>
      <c r="D195" s="11" t="s">
        <v>232</v>
      </c>
      <c r="E195" s="11">
        <f>Source!DO48</f>
        <v>0</v>
      </c>
      <c r="F195" s="11"/>
      <c r="G195" s="11"/>
      <c r="H195" s="11"/>
      <c r="I195" s="18">
        <f>ROUND((E195/100)*ROUND((Source!CT48/IF(Source!BA48&lt;&gt;0,Source!BA48,1)*Source!I48),2),2)</f>
        <v>0</v>
      </c>
      <c r="J195" s="11">
        <f>Source!AU48</f>
        <v>0</v>
      </c>
      <c r="K195" s="18">
        <f>Source!Y48</f>
        <v>0</v>
      </c>
    </row>
    <row r="196" spans="1:11" ht="12.75">
      <c r="A196" s="11"/>
      <c r="B196" s="11"/>
      <c r="C196" s="11" t="s">
        <v>293</v>
      </c>
      <c r="D196" s="11" t="s">
        <v>232</v>
      </c>
      <c r="E196" s="11">
        <v>175</v>
      </c>
      <c r="F196" s="11"/>
      <c r="G196" s="11"/>
      <c r="H196" s="11"/>
      <c r="I196" s="18">
        <f>ROUND(ROUND((Source!CS48/IF(Source!BS48&lt;&gt;0,Source!BS48,1)*Source!I48),2)*1.75,2)</f>
        <v>0</v>
      </c>
      <c r="J196" s="11">
        <v>180</v>
      </c>
      <c r="K196" s="18">
        <f>ROUND(Source!R48*J196/100,2)</f>
        <v>0</v>
      </c>
    </row>
    <row r="197" spans="1:11" ht="12.75">
      <c r="A197" s="35"/>
      <c r="B197" s="35"/>
      <c r="C197" s="35" t="s">
        <v>231</v>
      </c>
      <c r="D197" s="35" t="s">
        <v>233</v>
      </c>
      <c r="E197" s="35">
        <f>Source!AQ48</f>
        <v>0</v>
      </c>
      <c r="F197" s="35"/>
      <c r="G197" s="36">
        <f>Source!DI48</f>
      </c>
      <c r="H197" s="35">
        <f>Source!AV48</f>
        <v>1</v>
      </c>
      <c r="I197" s="37">
        <f>ROUND(Source!U48,2)</f>
        <v>0</v>
      </c>
      <c r="J197" s="35"/>
      <c r="K197" s="35"/>
    </row>
    <row r="198" spans="9:24" ht="12.75">
      <c r="I198" s="38">
        <f>ROUND((Source!CT48/IF(Source!BA48&lt;&gt;0,Source!BA48,1)*Source!I48),2)+ROUND((Source!CR48/IF(Source!BB48&lt;&gt;0,Source!BB48,1)*Source!I48),2)+ROUND((Source!CQ48/IF(Source!BC48&lt;&gt;0,Source!BC48,1)*Source!I48),2)+SUM(I194:I196)</f>
        <v>0</v>
      </c>
      <c r="J198" s="12"/>
      <c r="K198" s="38">
        <f>Source!O48+SUM(K194:K196)</f>
        <v>0</v>
      </c>
      <c r="L198">
        <f>ROUND((Source!CT48/IF(Source!BA48&lt;&gt;0,Source!BA48,1)*Source!I48),2)</f>
        <v>0</v>
      </c>
      <c r="M198" s="9">
        <f>I198</f>
        <v>0</v>
      </c>
      <c r="N198" s="9">
        <f>K198</f>
        <v>0</v>
      </c>
      <c r="O198">
        <f>ROUND(IF(Source!BI48=1,(ROUND((Source!CT48/IF(Source!BA48&lt;&gt;0,Source!BA48,1)*Source!I48),2)+ROUND((Source!CR48/IF(Source!BB48&lt;&gt;0,Source!BB48,1)*Source!I48),2)+ROUND((Source!CQ48/IF(Source!BC48&lt;&gt;0,Source!BC48,1)*Source!I48),2)+((Source!DN48/100)*ROUND((Source!CT48/IF(Source!BA48&lt;&gt;0,Source!BA48,1)*Source!I48),2))+((Source!DO48/100)*ROUND((Source!CT48/IF(Source!BA48&lt;&gt;0,Source!BA48,1)*Source!I48),2))+(ROUND((Source!CS48/IF(Source!BS48&lt;&gt;0,Source!BS48,1)*Source!I48),2)*1.75)),0),2)</f>
        <v>0</v>
      </c>
      <c r="P198">
        <f>ROUND(IF(Source!BI48=2,(ROUND((Source!CT48/IF(Source!BA48&lt;&gt;0,Source!BA48,1)*Source!I48),2)+ROUND((Source!CR48/IF(Source!BB48&lt;&gt;0,Source!BB48,1)*Source!I48),2)+ROUND((Source!CQ48/IF(Source!BC48&lt;&gt;0,Source!BC48,1)*Source!I48),2)+((Source!DN48/100)*ROUND((Source!CT48/IF(Source!BA48&lt;&gt;0,Source!BA48,1)*Source!I48),2))+((Source!DO48/100)*ROUND((Source!CT48/IF(Source!BA48&lt;&gt;0,Source!BA48,1)*Source!I48),2))+(ROUND((Source!CS48/IF(Source!BS48&lt;&gt;0,Source!BS48,1)*Source!I48),2)*1.75)),0),2)</f>
        <v>0</v>
      </c>
      <c r="Q198">
        <f>ROUND(IF(Source!BI48=3,(ROUND((Source!CT48/IF(Source!BA48&lt;&gt;0,Source!BA48,1)*Source!I48),2)+ROUND((Source!CR48/IF(Source!BB48&lt;&gt;0,Source!BB48,1)*Source!I48),2)+ROUND((Source!CQ48/IF(Source!BC48&lt;&gt;0,Source!BC48,1)*Source!I48),2)+((Source!DN48/100)*ROUND((Source!CT48/IF(Source!BA48&lt;&gt;0,Source!BA48,1)*Source!I48),2))+((Source!DO48/100)*ROUND((Source!CT48/IF(Source!BA48&lt;&gt;0,Source!BA48,1)*Source!I48),2))+(ROUND((Source!CS48/IF(Source!BS48&lt;&gt;0,Source!BS48,1)*Source!I48),2)*1.75)),0),2)</f>
        <v>0</v>
      </c>
      <c r="R198">
        <f>ROUND(IF(Source!BI48=4,(ROUND((Source!CT48/IF(Source!BA48&lt;&gt;0,Source!BA48,1)*Source!I48),2)+ROUND((Source!CR48/IF(Source!BB48&lt;&gt;0,Source!BB48,1)*Source!I48),2)+ROUND((Source!CQ48/IF(Source!BC48&lt;&gt;0,Source!BC48,1)*Source!I48),2)+((Source!DN48/100)*ROUND((Source!CT48/IF(Source!BA48&lt;&gt;0,Source!BA48,1)*Source!I48),2))+((Source!DO48/100)*ROUND((Source!CT48/IF(Source!BA48&lt;&gt;0,Source!BA48,1)*Source!I48),2))+(ROUND((Source!CS48/IF(Source!BS48&lt;&gt;0,Source!BS48,1)*Source!I48),2)*1.75)),0),2)</f>
        <v>0</v>
      </c>
      <c r="U198">
        <f>IF(Source!BI48=1,Source!O48+Source!X48+Source!Y48+Source!R48*180/100,0)</f>
        <v>0</v>
      </c>
      <c r="V198">
        <f>IF(Source!BI48=2,Source!O48+Source!X48+Source!Y48+Source!R48*180/100,0)</f>
        <v>0</v>
      </c>
      <c r="W198">
        <f>IF(Source!BI48=3,Source!O48+Source!X48+Source!Y48+Source!R48*180/100,0)</f>
        <v>0</v>
      </c>
      <c r="X198">
        <f>IF(Source!BI48=4,Source!O48+Source!X48+Source!Y48+Source!R48*180/100,0)</f>
        <v>0</v>
      </c>
    </row>
    <row r="200" spans="3:12" s="12" customFormat="1" ht="12.75">
      <c r="C200" s="12" t="s">
        <v>234</v>
      </c>
      <c r="H200" s="67">
        <f>SUM(M30:M199)</f>
        <v>114192.42000000001</v>
      </c>
      <c r="I200" s="67"/>
      <c r="J200" s="67">
        <f>SUM(N30:N199)</f>
        <v>909999.0299999999</v>
      </c>
      <c r="K200" s="67"/>
      <c r="L200" s="38">
        <f>SUM(L30:L199)</f>
        <v>14577.62</v>
      </c>
    </row>
    <row r="202" spans="3:11" ht="12.75">
      <c r="C202" s="39" t="s">
        <v>235</v>
      </c>
      <c r="D202" s="60" t="str">
        <f>Source!G50</f>
        <v>Новая локальная смета</v>
      </c>
      <c r="E202" s="60"/>
      <c r="F202" s="60"/>
      <c r="G202" s="60"/>
      <c r="H202" s="60"/>
      <c r="I202" s="60"/>
      <c r="J202" s="60"/>
      <c r="K202" s="60"/>
    </row>
    <row r="203" spans="3:11" ht="12.75">
      <c r="C203" s="57" t="str">
        <f>Source!H53</f>
        <v>Стоимость материальных ресурсов</v>
      </c>
      <c r="D203" s="57"/>
      <c r="E203" s="57"/>
      <c r="F203" s="57"/>
      <c r="G203" s="57"/>
      <c r="H203" s="57"/>
      <c r="I203" s="57"/>
      <c r="J203" s="58">
        <f>Source!F53</f>
        <v>403090.58</v>
      </c>
      <c r="K203" s="59"/>
    </row>
    <row r="204" spans="3:11" ht="12.75">
      <c r="C204" s="57" t="str">
        <f>Source!H56</f>
        <v>Эксплуатация машин</v>
      </c>
      <c r="D204" s="57"/>
      <c r="E204" s="57"/>
      <c r="F204" s="57"/>
      <c r="G204" s="57"/>
      <c r="H204" s="57"/>
      <c r="I204" s="57"/>
      <c r="J204" s="58">
        <f>Source!F56</f>
        <v>31182</v>
      </c>
      <c r="K204" s="59"/>
    </row>
    <row r="205" spans="3:11" ht="12.75">
      <c r="C205" s="57" t="str">
        <f>Source!H57</f>
        <v>ЗП машинистов</v>
      </c>
      <c r="D205" s="57"/>
      <c r="E205" s="57"/>
      <c r="F205" s="57"/>
      <c r="G205" s="57"/>
      <c r="H205" s="57"/>
      <c r="I205" s="57"/>
      <c r="J205" s="58">
        <f>Source!F57</f>
        <v>11769.47</v>
      </c>
      <c r="K205" s="59"/>
    </row>
    <row r="206" spans="3:11" ht="12.75">
      <c r="C206" s="57" t="str">
        <f>Source!H58</f>
        <v>Основная ЗП рабочих</v>
      </c>
      <c r="D206" s="57"/>
      <c r="E206" s="57"/>
      <c r="F206" s="57"/>
      <c r="G206" s="57"/>
      <c r="H206" s="57"/>
      <c r="I206" s="57"/>
      <c r="J206" s="58">
        <f>Source!F58</f>
        <v>194941.16</v>
      </c>
      <c r="K206" s="59"/>
    </row>
    <row r="207" spans="3:11" ht="12.75">
      <c r="C207" s="57" t="str">
        <f>Source!H63</f>
        <v>Накладные расходы</v>
      </c>
      <c r="D207" s="57"/>
      <c r="E207" s="57"/>
      <c r="F207" s="57"/>
      <c r="G207" s="57"/>
      <c r="H207" s="57"/>
      <c r="I207" s="57"/>
      <c r="J207" s="58">
        <f>Source!F63</f>
        <v>173826.16</v>
      </c>
      <c r="K207" s="59"/>
    </row>
    <row r="208" spans="3:11" ht="12.75">
      <c r="C208" s="57" t="str">
        <f>Source!H64</f>
        <v>Сметная прибыль</v>
      </c>
      <c r="D208" s="57"/>
      <c r="E208" s="57"/>
      <c r="F208" s="57"/>
      <c r="G208" s="57"/>
      <c r="H208" s="57"/>
      <c r="I208" s="57"/>
      <c r="J208" s="58">
        <f>Source!F64</f>
        <v>85774.09</v>
      </c>
      <c r="K208" s="59"/>
    </row>
    <row r="209" spans="3:11" ht="12.75">
      <c r="C209" s="57" t="str">
        <f>Source!H65</f>
        <v>Итог</v>
      </c>
      <c r="D209" s="57"/>
      <c r="E209" s="57"/>
      <c r="F209" s="57"/>
      <c r="G209" s="57"/>
      <c r="H209" s="57"/>
      <c r="I209" s="57"/>
      <c r="J209" s="58">
        <f>Source!F65</f>
        <v>888813.99</v>
      </c>
      <c r="K209" s="59"/>
    </row>
    <row r="210" spans="3:11" ht="12.75">
      <c r="C210" s="57" t="str">
        <f>Source!H66</f>
        <v>НДС 18%</v>
      </c>
      <c r="D210" s="57"/>
      <c r="E210" s="57"/>
      <c r="F210" s="57"/>
      <c r="G210" s="57"/>
      <c r="H210" s="57"/>
      <c r="I210" s="57"/>
      <c r="J210" s="58">
        <f>Source!F66</f>
        <v>159986.52</v>
      </c>
      <c r="K210" s="59"/>
    </row>
    <row r="211" spans="3:11" s="12" customFormat="1" ht="12.75">
      <c r="C211" s="60" t="str">
        <f>Source!H67</f>
        <v>ИТОГО</v>
      </c>
      <c r="D211" s="60"/>
      <c r="E211" s="60"/>
      <c r="F211" s="60"/>
      <c r="G211" s="60"/>
      <c r="H211" s="60"/>
      <c r="I211" s="60"/>
      <c r="J211" s="61">
        <f>Source!F67</f>
        <v>1048800.51</v>
      </c>
      <c r="K211" s="62"/>
    </row>
    <row r="213" spans="2:7" ht="14.25">
      <c r="B213" s="55" t="s">
        <v>259</v>
      </c>
      <c r="C213" s="56"/>
      <c r="D213" s="56"/>
      <c r="E213" s="56"/>
      <c r="F213" s="56"/>
      <c r="G213" s="56"/>
    </row>
    <row r="214" spans="2:7" ht="24">
      <c r="B214" s="40" t="s">
        <v>260</v>
      </c>
      <c r="C214" s="40" t="s">
        <v>261</v>
      </c>
      <c r="D214" s="40" t="s">
        <v>262</v>
      </c>
      <c r="E214" s="40" t="s">
        <v>263</v>
      </c>
      <c r="F214" s="40" t="s">
        <v>226</v>
      </c>
      <c r="G214" s="41" t="s">
        <v>264</v>
      </c>
    </row>
    <row r="215" spans="2:7" ht="12.75">
      <c r="B215" s="10">
        <v>1</v>
      </c>
      <c r="C215" s="10">
        <v>2</v>
      </c>
      <c r="D215" s="10">
        <v>3</v>
      </c>
      <c r="E215" s="10">
        <v>4</v>
      </c>
      <c r="F215" s="10">
        <v>5</v>
      </c>
      <c r="G215" s="8">
        <v>6</v>
      </c>
    </row>
    <row r="216" spans="2:7" ht="12.75">
      <c r="B216" s="52" t="s">
        <v>265</v>
      </c>
      <c r="C216" s="53"/>
      <c r="D216" s="53"/>
      <c r="E216" s="53"/>
      <c r="F216" s="53"/>
      <c r="G216" s="53"/>
    </row>
    <row r="217" spans="2:7" ht="36">
      <c r="B217" s="44" t="str">
        <f>SmtRes!I19</f>
        <v>1.1-1-1079</v>
      </c>
      <c r="C217" s="48" t="str">
        <f>SmtRes!K19</f>
        <v>СТАЛЬ ЛИСТОВАЯ, ОЦИНКОВАННАЯ, ТОЛЩИНА 0,5 ММ</v>
      </c>
      <c r="D217" s="44" t="str">
        <f>SmtRes!O19</f>
        <v>т</v>
      </c>
      <c r="E217" s="44">
        <f>SUM(RV_Data!F32:RV_Data!F34)</f>
        <v>0.21799993999999998</v>
      </c>
      <c r="F217" s="45">
        <v>30963.53</v>
      </c>
      <c r="G217" s="45">
        <f>F217*E217</f>
        <v>6750.047682188199</v>
      </c>
    </row>
    <row r="218" spans="2:7" ht="36">
      <c r="B218" s="44" t="str">
        <f>SmtRes!I45</f>
        <v>1.1-1-1312</v>
      </c>
      <c r="C218" s="48" t="str">
        <f>SmtRes!K45</f>
        <v>МАТЕРИАЛ РУЛОННЫЙ КРОВЕЛЬНЫЙ, ФИЛИЗОЛ, МАРКА 'В'</v>
      </c>
      <c r="D218" s="44" t="str">
        <f>SmtRes!O45</f>
        <v>м2</v>
      </c>
      <c r="E218" s="44">
        <f>SUM(RV_Data!F35:RV_Data!F36)</f>
        <v>1103.355</v>
      </c>
      <c r="F218" s="45">
        <v>150.04</v>
      </c>
      <c r="G218" s="45">
        <f aca="true" t="shared" si="0" ref="G218:G229">F218*E218</f>
        <v>165547.3842</v>
      </c>
    </row>
    <row r="219" spans="2:7" ht="36">
      <c r="B219" s="44" t="str">
        <f>SmtRes!I46</f>
        <v>1.1-1-1313</v>
      </c>
      <c r="C219" s="48" t="str">
        <f>SmtRes!K46</f>
        <v>МАТЕРИАЛ РУЛОННЫЙ КРОВЕЛЬНЫЙ, ФИЛИЗОЛ, МАРКА 'Н'</v>
      </c>
      <c r="D219" s="44" t="str">
        <f>SmtRes!O46</f>
        <v>м2</v>
      </c>
      <c r="E219" s="44">
        <f>SUM(RV_Data!F37:RV_Data!F38)</f>
        <v>1081.288296834</v>
      </c>
      <c r="F219" s="45">
        <v>137.44</v>
      </c>
      <c r="G219" s="45">
        <f t="shared" si="0"/>
        <v>148612.26351686494</v>
      </c>
    </row>
    <row r="220" spans="2:7" ht="36">
      <c r="B220" s="44" t="str">
        <f>SmtRes!I38</f>
        <v>1.1-1-1328</v>
      </c>
      <c r="C220" s="48" t="str">
        <f>SmtRes!K38</f>
        <v>ЦЕМЕНТ ОБЩЕСТРОИТЕЛЬНЫЙ, ПОРТЛАНДЦЕМЕНТ ОБЩЕГО НАЗНАЧЕНИЯ, МАРКА 300</v>
      </c>
      <c r="D220" s="44" t="str">
        <f>SmtRes!O38</f>
        <v>т</v>
      </c>
      <c r="E220" s="44">
        <f>SUM(RV_Data!F39:RV_Data!F40)</f>
        <v>0.04683</v>
      </c>
      <c r="F220" s="45">
        <v>1929.02</v>
      </c>
      <c r="G220" s="45">
        <f t="shared" si="0"/>
        <v>90.33600659999999</v>
      </c>
    </row>
    <row r="221" spans="2:7" ht="12.75">
      <c r="B221" s="44" t="str">
        <f>SmtRes!I15</f>
        <v>1.1-1-132</v>
      </c>
      <c r="C221" s="48" t="str">
        <f>SmtRes!K15</f>
        <v>ГВОЗДИ СТРОИТЕЛЬНЫЕ</v>
      </c>
      <c r="D221" s="44" t="str">
        <f>SmtRes!O15</f>
        <v>т</v>
      </c>
      <c r="E221" s="44">
        <f>SUM(RV_Data!F41:RV_Data!F42)</f>
        <v>0.0028799999999999997</v>
      </c>
      <c r="F221" s="45">
        <v>33389.67</v>
      </c>
      <c r="G221" s="45">
        <f t="shared" si="0"/>
        <v>96.16224959999998</v>
      </c>
    </row>
    <row r="222" spans="2:7" ht="36">
      <c r="B222" s="44" t="str">
        <f>SmtRes!I56</f>
        <v>1.1-1-1681</v>
      </c>
      <c r="C222" s="48" t="str">
        <f>SmtRes!K56</f>
        <v>НАБИВКИ САЛЬНИКОВЫЕ АСБЕСТОВЫЕ, МАРКА АП-31, ТОЛЩИНА 6-14 ММ</v>
      </c>
      <c r="D222" s="44" t="str">
        <f>SmtRes!O56</f>
        <v>т</v>
      </c>
      <c r="E222" s="44">
        <f>SUM(RV_Data!F43:RV_Data!F44)</f>
        <v>0.001</v>
      </c>
      <c r="F222" s="45">
        <v>614710</v>
      </c>
      <c r="G222" s="45">
        <f t="shared" si="0"/>
        <v>614.71</v>
      </c>
    </row>
    <row r="223" spans="2:7" ht="24">
      <c r="B223" s="44" t="str">
        <f>SmtRes!I47</f>
        <v>1.1-1-2613</v>
      </c>
      <c r="C223" s="48" t="str">
        <f>SmtRes!K47</f>
        <v>ПРОПАН-БУТАН, СЖИЖЕННЫЙ ГАЗ</v>
      </c>
      <c r="D223" s="44" t="str">
        <f>SmtRes!O47</f>
        <v>кг</v>
      </c>
      <c r="E223" s="44">
        <f>SUM(RV_Data!F45:RV_Data!F46)</f>
        <v>56.393699999999995</v>
      </c>
      <c r="F223" s="45">
        <v>28.84</v>
      </c>
      <c r="G223" s="45">
        <f t="shared" si="0"/>
        <v>1626.394308</v>
      </c>
    </row>
    <row r="224" spans="2:7" ht="12.75">
      <c r="B224" s="44" t="str">
        <f>SmtRes!I57</f>
        <v>1.1-1-296</v>
      </c>
      <c r="C224" s="48" t="str">
        <f>SmtRes!K57</f>
        <v>КАБОЛКА</v>
      </c>
      <c r="D224" s="44" t="str">
        <f>SmtRes!O57</f>
        <v>т</v>
      </c>
      <c r="E224" s="44">
        <f>SUM(RV_Data!F47:RV_Data!F48)</f>
        <v>0.00024</v>
      </c>
      <c r="F224" s="45">
        <v>139155.62</v>
      </c>
      <c r="G224" s="45">
        <f t="shared" si="0"/>
        <v>33.3973488</v>
      </c>
    </row>
    <row r="225" spans="2:7" ht="60">
      <c r="B225" s="44" t="str">
        <f>SmtRes!I48</f>
        <v>1.1-1-599</v>
      </c>
      <c r="C225" s="48" t="str">
        <f>SmtRes!K48</f>
        <v>МАСТИКА ГЕРМЕТИЗИРУЮЩАЯ НЕТВЕРДЕЮЩАЯ, СТРОИТЕЛЬНАЯ, БИТУМНО-АТАКТИЧЕСКАЯ, АНТИКОРРОЗИЙНАЯ</v>
      </c>
      <c r="D225" s="44" t="str">
        <f>SmtRes!O48</f>
        <v>т</v>
      </c>
      <c r="E225" s="44">
        <f>SUM(RV_Data!F49:RV_Data!F50)</f>
        <v>0.28605500000000006</v>
      </c>
      <c r="F225" s="45">
        <v>86989.68</v>
      </c>
      <c r="G225" s="45">
        <f t="shared" si="0"/>
        <v>24883.832912400005</v>
      </c>
    </row>
    <row r="226" spans="2:7" ht="24">
      <c r="B226" s="44" t="str">
        <f>SmtRes!I16</f>
        <v>1.1-1-957</v>
      </c>
      <c r="C226" s="48" t="str">
        <f>SmtRes!K16</f>
        <v>ПРОВОЛОКА СТАЛЬНАЯ КРОВЕЛЬНАЯ ОЦИНКОВАННАЯ</v>
      </c>
      <c r="D226" s="44" t="str">
        <f>SmtRes!O16</f>
        <v>т</v>
      </c>
      <c r="E226" s="44">
        <f>SUM(RV_Data!F51:RV_Data!F51)</f>
        <v>0.00366</v>
      </c>
      <c r="F226" s="45">
        <v>42026.06</v>
      </c>
      <c r="G226" s="45">
        <f t="shared" si="0"/>
        <v>153.8153796</v>
      </c>
    </row>
    <row r="227" spans="2:7" ht="24">
      <c r="B227" s="44" t="str">
        <f>SmtRes!I41</f>
        <v>1.3-2-5</v>
      </c>
      <c r="C227" s="48" t="str">
        <f>SmtRes!K41</f>
        <v>РАСТВОРЫ ЦЕМЕНТНЫЕ, МАРКА 100</v>
      </c>
      <c r="D227" s="44" t="str">
        <f>SmtRes!O41</f>
        <v>м3</v>
      </c>
      <c r="E227" s="44">
        <f>SUM(RV_Data!F52:RV_Data!F55)</f>
        <v>6.2242</v>
      </c>
      <c r="F227" s="45">
        <v>2760.98</v>
      </c>
      <c r="G227" s="45">
        <f t="shared" si="0"/>
        <v>17184.891716</v>
      </c>
    </row>
    <row r="228" spans="2:7" ht="24">
      <c r="B228" s="44" t="str">
        <f>SmtRes!I42</f>
        <v>1.5-4-468</v>
      </c>
      <c r="C228" s="48" t="str">
        <f>SmtRes!K42</f>
        <v>ПЛИТЫ ПАРАПЕТНЫЕ, МАРКА ПР-30, ПР-12</v>
      </c>
      <c r="D228" s="44" t="str">
        <f>SmtRes!O42</f>
        <v>м3</v>
      </c>
      <c r="E228" s="44">
        <f>SUM(RV_Data!F56:RV_Data!F56)</f>
        <v>3.93399996</v>
      </c>
      <c r="F228" s="45">
        <v>9464.35</v>
      </c>
      <c r="G228" s="45">
        <f t="shared" si="0"/>
        <v>37232.752521426</v>
      </c>
    </row>
    <row r="229" spans="2:7" ht="48">
      <c r="B229" s="42" t="str">
        <f>SmtRes!I58</f>
        <v>1.7-1-10</v>
      </c>
      <c r="C229" s="49" t="str">
        <f>SmtRes!K58</f>
        <v>ВОРОНКИ ДЛЯ СБОРА АТМОСФЕРНЫХ ОСАДКОВ ИЗ ОЦИНКОВАННОЙ СТАЛИ, ДИАМЕТР 160 ММ</v>
      </c>
      <c r="D229" s="42" t="str">
        <f>SmtRes!O58</f>
        <v>шт.</v>
      </c>
      <c r="E229" s="42">
        <f>SUM(RV_Data!F57:RV_Data!F57)</f>
        <v>1</v>
      </c>
      <c r="F229" s="43">
        <v>264.59</v>
      </c>
      <c r="G229" s="43">
        <f t="shared" si="0"/>
        <v>264.59</v>
      </c>
    </row>
    <row r="230" spans="2:7" ht="12.75">
      <c r="B230" s="50" t="s">
        <v>234</v>
      </c>
      <c r="C230" s="28"/>
      <c r="D230" s="28"/>
      <c r="E230" s="28"/>
      <c r="F230" s="28"/>
      <c r="G230" s="51">
        <f>SUM(G217:G229)</f>
        <v>403090.57784147916</v>
      </c>
    </row>
    <row r="233" spans="1:8" ht="12.75">
      <c r="A233" t="s">
        <v>294</v>
      </c>
      <c r="C233" s="46" t="str">
        <f>IF(Source!AO12&lt;&gt;"",Source!AO12," ")</f>
        <v> </v>
      </c>
      <c r="D233" s="46"/>
      <c r="E233" s="46"/>
      <c r="F233" s="46"/>
      <c r="G233" s="46"/>
      <c r="H233" t="str">
        <f>IF(Source!R12&lt;&gt;"",Source!R12," ")</f>
        <v> </v>
      </c>
    </row>
    <row r="234" spans="3:7" s="47" customFormat="1" ht="11.25">
      <c r="C234" s="54" t="s">
        <v>266</v>
      </c>
      <c r="D234" s="54"/>
      <c r="E234" s="54"/>
      <c r="F234" s="54"/>
      <c r="G234" s="54"/>
    </row>
    <row r="236" spans="1:8" ht="12.75">
      <c r="A236" t="s">
        <v>295</v>
      </c>
      <c r="C236" s="46" t="str">
        <f>IF(Source!AP12&lt;&gt;"",Source!AP12," ")</f>
        <v> </v>
      </c>
      <c r="D236" s="46"/>
      <c r="E236" s="46"/>
      <c r="F236" s="46"/>
      <c r="G236" s="46"/>
      <c r="H236" t="str">
        <f>IF(Source!S12&lt;&gt;"",Source!S12," ")</f>
        <v> </v>
      </c>
    </row>
    <row r="237" spans="3:7" s="47" customFormat="1" ht="11.25">
      <c r="C237" s="54" t="s">
        <v>266</v>
      </c>
      <c r="D237" s="54"/>
      <c r="E237" s="54"/>
      <c r="F237" s="54"/>
      <c r="G237" s="54"/>
    </row>
  </sheetData>
  <sheetProtection/>
  <mergeCells count="40">
    <mergeCell ref="B20:K20"/>
    <mergeCell ref="F3:I3"/>
    <mergeCell ref="A5:B5"/>
    <mergeCell ref="F5:H5"/>
    <mergeCell ref="C5:D5"/>
    <mergeCell ref="I5:K5"/>
    <mergeCell ref="C7:D7"/>
    <mergeCell ref="H7:K7"/>
    <mergeCell ref="B21:K21"/>
    <mergeCell ref="G24:H24"/>
    <mergeCell ref="J200:K200"/>
    <mergeCell ref="H200:I200"/>
    <mergeCell ref="D202:K202"/>
    <mergeCell ref="A12:K12"/>
    <mergeCell ref="A13:K13"/>
    <mergeCell ref="A15:K15"/>
    <mergeCell ref="A16:K16"/>
    <mergeCell ref="A18:K18"/>
    <mergeCell ref="C203:I203"/>
    <mergeCell ref="J203:K203"/>
    <mergeCell ref="C204:I204"/>
    <mergeCell ref="J204:K204"/>
    <mergeCell ref="C205:I205"/>
    <mergeCell ref="J205:K205"/>
    <mergeCell ref="C206:I206"/>
    <mergeCell ref="J206:K206"/>
    <mergeCell ref="C207:I207"/>
    <mergeCell ref="J207:K207"/>
    <mergeCell ref="C208:I208"/>
    <mergeCell ref="J208:K208"/>
    <mergeCell ref="B216:G216"/>
    <mergeCell ref="C234:G234"/>
    <mergeCell ref="C237:G237"/>
    <mergeCell ref="B213:G213"/>
    <mergeCell ref="C209:I209"/>
    <mergeCell ref="J209:K209"/>
    <mergeCell ref="C210:I210"/>
    <mergeCell ref="J210:K210"/>
    <mergeCell ref="C211:I211"/>
    <mergeCell ref="J211:K211"/>
  </mergeCells>
  <printOptions/>
  <pageMargins left="0.3937007874015748" right="0.1968503937007874" top="0.21" bottom="0.23" header="0.11811023622047245" footer="0.11811023622047245"/>
  <pageSetup horizontalDpi="600" verticalDpi="600" orientation="portrait" paperSize="9" scale="7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L87"/>
  <sheetViews>
    <sheetView zoomScalePageLayoutView="0" workbookViewId="0" topLeftCell="A1">
      <selection activeCell="O31" sqref="O3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38458</v>
      </c>
    </row>
    <row r="12" spans="1:104" ht="12.75">
      <c r="A12" s="1">
        <v>1</v>
      </c>
      <c r="B12" s="1">
        <v>1</v>
      </c>
      <c r="C12" s="1">
        <v>0</v>
      </c>
      <c r="D12" s="1">
        <f>ROW(A69)</f>
        <v>69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7</v>
      </c>
      <c r="P12" s="1">
        <v>2013</v>
      </c>
      <c r="Q12" s="1">
        <v>6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-3</v>
      </c>
      <c r="W12" s="1" t="s">
        <v>6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103</v>
      </c>
      <c r="AK12" s="1">
        <v>77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180</v>
      </c>
      <c r="BB12" s="1">
        <v>103</v>
      </c>
      <c r="BC12" s="1">
        <v>77</v>
      </c>
      <c r="BD12" s="1">
        <v>23485568</v>
      </c>
      <c r="BE12" s="1" t="s">
        <v>8</v>
      </c>
      <c r="BF12" s="1" t="s">
        <v>9</v>
      </c>
      <c r="BG12" s="1">
        <v>11389902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180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0</v>
      </c>
      <c r="CA12" s="1">
        <v>11389897</v>
      </c>
      <c r="CB12" s="1">
        <v>11389896</v>
      </c>
      <c r="CC12" s="1">
        <v>11389895</v>
      </c>
      <c r="CD12" s="1">
        <v>11389894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12258603</v>
      </c>
      <c r="CL12" s="1" t="s">
        <v>10</v>
      </c>
      <c r="CM12" s="1" t="s">
        <v>11</v>
      </c>
      <c r="CN12" s="1" t="s">
        <v>12</v>
      </c>
      <c r="CO12" s="1" t="s">
        <v>12</v>
      </c>
      <c r="CP12" s="1" t="s">
        <v>12</v>
      </c>
      <c r="CQ12" s="1" t="s">
        <v>12</v>
      </c>
      <c r="CR12" s="1" t="s">
        <v>13</v>
      </c>
      <c r="CS12" s="1">
        <v>11392668</v>
      </c>
      <c r="CT12" s="1">
        <v>0</v>
      </c>
      <c r="CU12" s="1">
        <v>0</v>
      </c>
      <c r="CV12" s="1">
        <v>7534351</v>
      </c>
      <c r="CW12" s="1">
        <v>23486588</v>
      </c>
      <c r="CX12" s="1">
        <v>23486589</v>
      </c>
      <c r="CY12" s="1">
        <v>0</v>
      </c>
      <c r="CZ12" s="1" t="s">
        <v>6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B69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Библиотека №133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629213.74</v>
      </c>
      <c r="P18" s="2">
        <f t="shared" si="0"/>
        <v>403090.58</v>
      </c>
      <c r="Q18" s="2">
        <f t="shared" si="0"/>
        <v>31182</v>
      </c>
      <c r="R18" s="2">
        <f t="shared" si="0"/>
        <v>11769.47</v>
      </c>
      <c r="S18" s="2">
        <f t="shared" si="0"/>
        <v>194941.16</v>
      </c>
      <c r="T18" s="2">
        <f t="shared" si="0"/>
        <v>0</v>
      </c>
      <c r="U18" s="2">
        <f t="shared" si="0"/>
        <v>1132.14</v>
      </c>
      <c r="V18" s="2">
        <f t="shared" si="0"/>
        <v>0</v>
      </c>
      <c r="W18" s="2">
        <f t="shared" si="0"/>
        <v>0</v>
      </c>
      <c r="X18" s="2">
        <f t="shared" si="0"/>
        <v>173826.16</v>
      </c>
      <c r="Y18" s="2">
        <f t="shared" si="0"/>
        <v>85774.09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ROW(A50)</f>
        <v>50</v>
      </c>
      <c r="E20" s="1"/>
      <c r="F20" s="1" t="s">
        <v>14</v>
      </c>
      <c r="G20" s="1" t="s">
        <v>14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6</v>
      </c>
      <c r="AP20" s="1" t="s">
        <v>6</v>
      </c>
      <c r="AQ20" s="1" t="s">
        <v>6</v>
      </c>
      <c r="AR20" s="1"/>
      <c r="AS20" s="1"/>
      <c r="AT20" s="1" t="s">
        <v>6</v>
      </c>
      <c r="AU20" s="1" t="s">
        <v>6</v>
      </c>
      <c r="AV20" s="1" t="s">
        <v>6</v>
      </c>
      <c r="AW20" s="1" t="s">
        <v>6</v>
      </c>
      <c r="AX20" s="1" t="s">
        <v>6</v>
      </c>
      <c r="AY20" s="1" t="s">
        <v>6</v>
      </c>
      <c r="AZ20" s="1" t="s">
        <v>6</v>
      </c>
      <c r="BA20" s="1" t="s">
        <v>6</v>
      </c>
      <c r="BB20" s="1" t="s">
        <v>6</v>
      </c>
      <c r="BC20" s="1" t="s">
        <v>6</v>
      </c>
      <c r="BD20" s="1" t="s">
        <v>6</v>
      </c>
      <c r="BE20" s="1" t="s">
        <v>15</v>
      </c>
      <c r="BF20" s="1">
        <v>0</v>
      </c>
      <c r="BG20" s="1">
        <v>0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>
        <v>0</v>
      </c>
      <c r="BN20" s="1" t="s">
        <v>6</v>
      </c>
      <c r="BO20" s="1" t="s">
        <v>6</v>
      </c>
    </row>
    <row r="22" spans="1:43" ht="12.75">
      <c r="A22" s="2">
        <v>52</v>
      </c>
      <c r="B22" s="2">
        <f aca="true" t="shared" si="1" ref="B22:AQ22">B50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629213.74</v>
      </c>
      <c r="P22" s="2">
        <f t="shared" si="1"/>
        <v>403090.58</v>
      </c>
      <c r="Q22" s="2">
        <f t="shared" si="1"/>
        <v>31182</v>
      </c>
      <c r="R22" s="2">
        <f t="shared" si="1"/>
        <v>11769.47</v>
      </c>
      <c r="S22" s="2">
        <f t="shared" si="1"/>
        <v>194941.16</v>
      </c>
      <c r="T22" s="2">
        <f t="shared" si="1"/>
        <v>0</v>
      </c>
      <c r="U22" s="2">
        <f t="shared" si="1"/>
        <v>1132.14</v>
      </c>
      <c r="V22" s="2">
        <f t="shared" si="1"/>
        <v>0</v>
      </c>
      <c r="W22" s="2">
        <f t="shared" si="1"/>
        <v>0</v>
      </c>
      <c r="X22" s="2">
        <f t="shared" si="1"/>
        <v>173826.16</v>
      </c>
      <c r="Y22" s="2">
        <f t="shared" si="1"/>
        <v>85774.09</v>
      </c>
      <c r="Z22" s="2">
        <f t="shared" si="1"/>
        <v>0</v>
      </c>
      <c r="AA22" s="2">
        <f t="shared" si="1"/>
        <v>0</v>
      </c>
      <c r="AB22" s="2">
        <f t="shared" si="1"/>
        <v>629213.74</v>
      </c>
      <c r="AC22" s="2">
        <f t="shared" si="1"/>
        <v>403090.58</v>
      </c>
      <c r="AD22" s="2">
        <f t="shared" si="1"/>
        <v>31182</v>
      </c>
      <c r="AE22" s="2">
        <f t="shared" si="1"/>
        <v>11769.47</v>
      </c>
      <c r="AF22" s="2">
        <f t="shared" si="1"/>
        <v>194941.16</v>
      </c>
      <c r="AG22" s="2">
        <f t="shared" si="1"/>
        <v>0</v>
      </c>
      <c r="AH22" s="2">
        <f t="shared" si="1"/>
        <v>1132.14</v>
      </c>
      <c r="AI22" s="2">
        <f t="shared" si="1"/>
        <v>0</v>
      </c>
      <c r="AJ22" s="2">
        <f t="shared" si="1"/>
        <v>0</v>
      </c>
      <c r="AK22" s="2">
        <f t="shared" si="1"/>
        <v>173826.16</v>
      </c>
      <c r="AL22" s="2">
        <f t="shared" si="1"/>
        <v>85774.09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94" ht="12.75">
      <c r="A24">
        <v>17</v>
      </c>
      <c r="B24">
        <v>1</v>
      </c>
      <c r="C24">
        <f>ROW(SmtRes!A3)</f>
        <v>3</v>
      </c>
      <c r="D24">
        <f>ROW(EtalonRes!A3)</f>
        <v>3</v>
      </c>
      <c r="E24" t="s">
        <v>16</v>
      </c>
      <c r="F24" t="s">
        <v>17</v>
      </c>
      <c r="G24" t="s">
        <v>18</v>
      </c>
      <c r="H24" t="s">
        <v>19</v>
      </c>
      <c r="I24">
        <v>0.44</v>
      </c>
      <c r="J24">
        <v>0</v>
      </c>
      <c r="O24">
        <f aca="true" t="shared" si="2" ref="O24:O48">ROUND(CP24,2)</f>
        <v>6722.82</v>
      </c>
      <c r="P24">
        <f aca="true" t="shared" si="3" ref="P24:P48">ROUND(CQ24*I24,2)</f>
        <v>0</v>
      </c>
      <c r="Q24">
        <f aca="true" t="shared" si="4" ref="Q24:Q48">ROUND(CR24*I24,2)</f>
        <v>0</v>
      </c>
      <c r="R24">
        <f aca="true" t="shared" si="5" ref="R24:R48">ROUND(CS24*I24,2)</f>
        <v>0</v>
      </c>
      <c r="S24">
        <f aca="true" t="shared" si="6" ref="S24:S48">ROUND(CT24*I24,2)</f>
        <v>6722.82</v>
      </c>
      <c r="T24">
        <f aca="true" t="shared" si="7" ref="T24:T48">ROUND(CU24*I24,2)</f>
        <v>0</v>
      </c>
      <c r="U24">
        <f aca="true" t="shared" si="8" ref="U24:U48">CV24*I24</f>
        <v>39.410272000000006</v>
      </c>
      <c r="V24">
        <f aca="true" t="shared" si="9" ref="V24:V48">CW24*I24</f>
        <v>0</v>
      </c>
      <c r="W24">
        <f aca="true" t="shared" si="10" ref="W24:W48">ROUND(CX24*I24,2)</f>
        <v>0</v>
      </c>
      <c r="X24">
        <f aca="true" t="shared" si="11" ref="X24:X48">ROUND(CY24,2)</f>
        <v>7865.7</v>
      </c>
      <c r="Y24">
        <f aca="true" t="shared" si="12" ref="Y24:Y48">ROUND(CZ24,2)</f>
        <v>2958.04</v>
      </c>
      <c r="AA24">
        <v>0</v>
      </c>
      <c r="AB24">
        <f aca="true" t="shared" si="13" ref="AB24:AB48">(AC24+AD24+AF24)</f>
        <v>991.2719999999999</v>
      </c>
      <c r="AC24">
        <f>((ES24*0))</f>
        <v>0</v>
      </c>
      <c r="AD24">
        <f>((ET24*0.8))</f>
        <v>0</v>
      </c>
      <c r="AE24">
        <f>((EU24*0.8))</f>
        <v>0</v>
      </c>
      <c r="AF24">
        <f>((EV24*0.8))</f>
        <v>991.2719999999999</v>
      </c>
      <c r="AG24">
        <f>(AP24)</f>
        <v>0</v>
      </c>
      <c r="AH24">
        <f>((EW24*0.8))</f>
        <v>82.4</v>
      </c>
      <c r="AI24">
        <f>((EX24*0.8))</f>
        <v>0</v>
      </c>
      <c r="AJ24">
        <f>(AS24)</f>
        <v>0</v>
      </c>
      <c r="AK24">
        <v>2727.85</v>
      </c>
      <c r="AL24">
        <v>1488.76</v>
      </c>
      <c r="AM24">
        <v>0</v>
      </c>
      <c r="AN24">
        <v>0</v>
      </c>
      <c r="AO24">
        <v>1239.09</v>
      </c>
      <c r="AP24">
        <v>0</v>
      </c>
      <c r="AQ24">
        <v>103</v>
      </c>
      <c r="AR24">
        <v>0</v>
      </c>
      <c r="AS24">
        <v>0</v>
      </c>
      <c r="AT24">
        <v>117</v>
      </c>
      <c r="AU24">
        <v>44</v>
      </c>
      <c r="AV24">
        <v>1.087</v>
      </c>
      <c r="AW24">
        <v>1.003</v>
      </c>
      <c r="AX24">
        <v>1</v>
      </c>
      <c r="AY24">
        <v>1</v>
      </c>
      <c r="AZ24">
        <v>14.18</v>
      </c>
      <c r="BA24">
        <v>14.18</v>
      </c>
      <c r="BB24">
        <v>1</v>
      </c>
      <c r="BC24">
        <v>6.14</v>
      </c>
      <c r="BH24">
        <v>0</v>
      </c>
      <c r="BI24">
        <v>1</v>
      </c>
      <c r="BJ24" t="s">
        <v>20</v>
      </c>
      <c r="BM24">
        <v>58</v>
      </c>
      <c r="BN24">
        <v>0</v>
      </c>
      <c r="BO24" t="s">
        <v>17</v>
      </c>
      <c r="BP24">
        <v>1</v>
      </c>
      <c r="BQ24">
        <v>30</v>
      </c>
      <c r="BR24">
        <v>0</v>
      </c>
      <c r="BS24">
        <v>14.18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117</v>
      </c>
      <c r="CA24">
        <v>44</v>
      </c>
      <c r="CF24">
        <v>0</v>
      </c>
      <c r="CG24">
        <v>0</v>
      </c>
      <c r="CM24">
        <v>0</v>
      </c>
      <c r="CO24">
        <v>0</v>
      </c>
      <c r="CP24">
        <f aca="true" t="shared" si="14" ref="CP24:CP48">(P24+Q24+S24)</f>
        <v>6722.82</v>
      </c>
      <c r="CQ24">
        <f aca="true" t="shared" si="15" ref="CQ24:CQ48">((AC24*AW24))*BC24</f>
        <v>0</v>
      </c>
      <c r="CR24">
        <f aca="true" t="shared" si="16" ref="CR24:CR48">((AD24*AV24))*BB24</f>
        <v>0</v>
      </c>
      <c r="CS24">
        <f aca="true" t="shared" si="17" ref="CS24:CS48">((AE24*AV24))*BS24</f>
        <v>0</v>
      </c>
      <c r="CT24">
        <f aca="true" t="shared" si="18" ref="CT24:CT48">((AF24*AV24))*BA24</f>
        <v>15279.129575519997</v>
      </c>
      <c r="CU24">
        <f aca="true" t="shared" si="19" ref="CU24:CU48">(AG24)*BT24</f>
        <v>0</v>
      </c>
      <c r="CV24">
        <f aca="true" t="shared" si="20" ref="CV24:CV48">((AH24*AV24))*BU24</f>
        <v>89.56880000000001</v>
      </c>
      <c r="CW24">
        <f aca="true" t="shared" si="21" ref="CW24:CW48">(AI24)*BV24</f>
        <v>0</v>
      </c>
      <c r="CX24">
        <f aca="true" t="shared" si="22" ref="CX24:CX48">(AJ24)*BW24</f>
        <v>0</v>
      </c>
      <c r="CY24">
        <f aca="true" t="shared" si="23" ref="CY24:CY48">S24*(BZ24/100)</f>
        <v>7865.6993999999995</v>
      </c>
      <c r="CZ24">
        <f aca="true" t="shared" si="24" ref="CZ24:CZ48">S24*(CA24/100)</f>
        <v>2958.0407999999998</v>
      </c>
      <c r="DD24" t="s">
        <v>21</v>
      </c>
      <c r="DE24" t="s">
        <v>22</v>
      </c>
      <c r="DF24" t="s">
        <v>22</v>
      </c>
      <c r="DG24" t="s">
        <v>22</v>
      </c>
      <c r="DI24" t="s">
        <v>22</v>
      </c>
      <c r="DJ24" t="s">
        <v>22</v>
      </c>
      <c r="DN24">
        <v>138</v>
      </c>
      <c r="DO24">
        <v>70</v>
      </c>
      <c r="DP24">
        <v>1.087</v>
      </c>
      <c r="DQ24">
        <v>1.003</v>
      </c>
      <c r="DR24">
        <v>1</v>
      </c>
      <c r="DS24">
        <v>1</v>
      </c>
      <c r="DT24">
        <v>1</v>
      </c>
      <c r="DU24">
        <v>1010</v>
      </c>
      <c r="DV24" t="s">
        <v>19</v>
      </c>
      <c r="DW24" t="s">
        <v>19</v>
      </c>
      <c r="DX24">
        <v>100</v>
      </c>
      <c r="EE24">
        <v>22377044</v>
      </c>
      <c r="EF24">
        <v>30</v>
      </c>
      <c r="EG24" t="s">
        <v>23</v>
      </c>
      <c r="EH24">
        <v>0</v>
      </c>
      <c r="EJ24">
        <v>1</v>
      </c>
      <c r="EK24">
        <v>58</v>
      </c>
      <c r="EL24" t="s">
        <v>24</v>
      </c>
      <c r="EM24" t="s">
        <v>25</v>
      </c>
      <c r="EQ24">
        <v>64</v>
      </c>
      <c r="ER24">
        <v>2727.85</v>
      </c>
      <c r="ES24">
        <v>1488.76</v>
      </c>
      <c r="ET24">
        <v>0</v>
      </c>
      <c r="EU24">
        <v>0</v>
      </c>
      <c r="EV24">
        <v>1239.09</v>
      </c>
      <c r="EW24">
        <v>103</v>
      </c>
      <c r="EX24">
        <v>0</v>
      </c>
      <c r="EY24">
        <v>0</v>
      </c>
      <c r="EZ24">
        <v>0</v>
      </c>
      <c r="FQ24">
        <v>0</v>
      </c>
      <c r="FR24">
        <f aca="true" t="shared" si="25" ref="FR24:FR48">ROUND(IF(AND(AA24=0,BI24=3),P24,0),2)</f>
        <v>0</v>
      </c>
      <c r="FS24">
        <v>0</v>
      </c>
      <c r="FX24">
        <v>117</v>
      </c>
      <c r="FY24">
        <v>44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</row>
    <row r="25" spans="1:194" ht="12.75">
      <c r="A25">
        <v>17</v>
      </c>
      <c r="B25">
        <v>1</v>
      </c>
      <c r="C25">
        <f>ROW(SmtRes!A5)</f>
        <v>5</v>
      </c>
      <c r="D25">
        <f>ROW(EtalonRes!A5)</f>
        <v>5</v>
      </c>
      <c r="E25" t="s">
        <v>26</v>
      </c>
      <c r="F25" t="s">
        <v>27</v>
      </c>
      <c r="G25" t="s">
        <v>28</v>
      </c>
      <c r="H25" t="s">
        <v>29</v>
      </c>
      <c r="I25">
        <v>6.962</v>
      </c>
      <c r="J25">
        <v>0</v>
      </c>
      <c r="O25">
        <f t="shared" si="2"/>
        <v>19777.1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19777.1</v>
      </c>
      <c r="T25">
        <f t="shared" si="7"/>
        <v>0</v>
      </c>
      <c r="U25">
        <f t="shared" si="8"/>
        <v>126.90521573999999</v>
      </c>
      <c r="V25">
        <f t="shared" si="9"/>
        <v>0</v>
      </c>
      <c r="W25">
        <f t="shared" si="10"/>
        <v>0</v>
      </c>
      <c r="X25">
        <f t="shared" si="11"/>
        <v>14239.51</v>
      </c>
      <c r="Y25">
        <f t="shared" si="12"/>
        <v>8701.92</v>
      </c>
      <c r="AA25">
        <v>0</v>
      </c>
      <c r="AB25">
        <f t="shared" si="13"/>
        <v>191.34</v>
      </c>
      <c r="AC25">
        <f aca="true" t="shared" si="26" ref="AC25:AF26">(ES25)</f>
        <v>0</v>
      </c>
      <c r="AD25">
        <f t="shared" si="26"/>
        <v>0</v>
      </c>
      <c r="AE25">
        <f t="shared" si="26"/>
        <v>0</v>
      </c>
      <c r="AF25">
        <f t="shared" si="26"/>
        <v>191.34</v>
      </c>
      <c r="AG25">
        <f>(AP25)</f>
        <v>0</v>
      </c>
      <c r="AH25">
        <f>(EW25)</f>
        <v>17.41</v>
      </c>
      <c r="AI25">
        <f>(EX25)</f>
        <v>0</v>
      </c>
      <c r="AJ25">
        <f>(AS25)</f>
        <v>0</v>
      </c>
      <c r="AK25">
        <v>191.34</v>
      </c>
      <c r="AL25">
        <v>0</v>
      </c>
      <c r="AM25">
        <v>0</v>
      </c>
      <c r="AN25">
        <v>0</v>
      </c>
      <c r="AO25">
        <v>191.34</v>
      </c>
      <c r="AP25">
        <v>0</v>
      </c>
      <c r="AQ25">
        <v>17.41</v>
      </c>
      <c r="AR25">
        <v>0</v>
      </c>
      <c r="AS25">
        <v>0</v>
      </c>
      <c r="AT25">
        <v>72</v>
      </c>
      <c r="AU25">
        <v>44</v>
      </c>
      <c r="AV25">
        <v>1.047</v>
      </c>
      <c r="AW25">
        <v>1</v>
      </c>
      <c r="AX25">
        <v>1</v>
      </c>
      <c r="AY25">
        <v>1</v>
      </c>
      <c r="AZ25">
        <v>14.18</v>
      </c>
      <c r="BA25">
        <v>14.18</v>
      </c>
      <c r="BB25">
        <v>1</v>
      </c>
      <c r="BC25">
        <v>1</v>
      </c>
      <c r="BH25">
        <v>0</v>
      </c>
      <c r="BI25">
        <v>1</v>
      </c>
      <c r="BJ25" t="s">
        <v>30</v>
      </c>
      <c r="BM25">
        <v>441</v>
      </c>
      <c r="BN25">
        <v>0</v>
      </c>
      <c r="BO25" t="s">
        <v>27</v>
      </c>
      <c r="BP25">
        <v>1</v>
      </c>
      <c r="BQ25">
        <v>60</v>
      </c>
      <c r="BR25">
        <v>0</v>
      </c>
      <c r="BS25">
        <v>14.18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72</v>
      </c>
      <c r="CA25">
        <v>44</v>
      </c>
      <c r="CF25">
        <v>0</v>
      </c>
      <c r="CG25">
        <v>0</v>
      </c>
      <c r="CM25">
        <v>0</v>
      </c>
      <c r="CO25">
        <v>0</v>
      </c>
      <c r="CP25">
        <f t="shared" si="14"/>
        <v>19777.1</v>
      </c>
      <c r="CQ25">
        <f t="shared" si="15"/>
        <v>0</v>
      </c>
      <c r="CR25">
        <f t="shared" si="16"/>
        <v>0</v>
      </c>
      <c r="CS25">
        <f t="shared" si="17"/>
        <v>0</v>
      </c>
      <c r="CT25">
        <f t="shared" si="18"/>
        <v>2840.7216564</v>
      </c>
      <c r="CU25">
        <f t="shared" si="19"/>
        <v>0</v>
      </c>
      <c r="CV25">
        <f t="shared" si="20"/>
        <v>18.22827</v>
      </c>
      <c r="CW25">
        <f t="shared" si="21"/>
        <v>0</v>
      </c>
      <c r="CX25">
        <f t="shared" si="22"/>
        <v>0</v>
      </c>
      <c r="CY25">
        <f t="shared" si="23"/>
        <v>14239.511999999999</v>
      </c>
      <c r="CZ25">
        <f t="shared" si="24"/>
        <v>8701.923999999999</v>
      </c>
      <c r="DN25">
        <v>80</v>
      </c>
      <c r="DO25">
        <v>55</v>
      </c>
      <c r="DP25">
        <v>1.047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29</v>
      </c>
      <c r="DW25" t="s">
        <v>29</v>
      </c>
      <c r="DX25">
        <v>100</v>
      </c>
      <c r="EE25">
        <v>22377427</v>
      </c>
      <c r="EF25">
        <v>60</v>
      </c>
      <c r="EG25" t="s">
        <v>31</v>
      </c>
      <c r="EH25">
        <v>0</v>
      </c>
      <c r="EJ25">
        <v>1</v>
      </c>
      <c r="EK25">
        <v>441</v>
      </c>
      <c r="EL25" t="s">
        <v>32</v>
      </c>
      <c r="EM25" t="s">
        <v>33</v>
      </c>
      <c r="EQ25">
        <v>64</v>
      </c>
      <c r="ER25">
        <v>191.34</v>
      </c>
      <c r="ES25">
        <v>0</v>
      </c>
      <c r="ET25">
        <v>0</v>
      </c>
      <c r="EU25">
        <v>0</v>
      </c>
      <c r="EV25">
        <v>191.34</v>
      </c>
      <c r="EW25">
        <v>17.41</v>
      </c>
      <c r="EX25">
        <v>0</v>
      </c>
      <c r="EY25">
        <v>0</v>
      </c>
      <c r="EZ25">
        <v>0</v>
      </c>
      <c r="FQ25">
        <v>0</v>
      </c>
      <c r="FR25">
        <f t="shared" si="25"/>
        <v>0</v>
      </c>
      <c r="FS25">
        <v>0</v>
      </c>
      <c r="FX25">
        <v>72</v>
      </c>
      <c r="FY25">
        <v>44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1</v>
      </c>
      <c r="GL25">
        <v>0</v>
      </c>
    </row>
    <row r="26" spans="1:194" ht="12.75">
      <c r="A26">
        <v>17</v>
      </c>
      <c r="B26">
        <v>1</v>
      </c>
      <c r="C26">
        <f>ROW(SmtRes!A9)</f>
        <v>9</v>
      </c>
      <c r="D26">
        <f>ROW(EtalonRes!A9)</f>
        <v>9</v>
      </c>
      <c r="E26" t="s">
        <v>34</v>
      </c>
      <c r="F26" t="s">
        <v>35</v>
      </c>
      <c r="G26" t="s">
        <v>36</v>
      </c>
      <c r="H26" t="s">
        <v>37</v>
      </c>
      <c r="I26">
        <v>0.11</v>
      </c>
      <c r="J26">
        <v>0</v>
      </c>
      <c r="O26">
        <f t="shared" si="2"/>
        <v>839.25</v>
      </c>
      <c r="P26">
        <f t="shared" si="3"/>
        <v>14.71</v>
      </c>
      <c r="Q26">
        <f t="shared" si="4"/>
        <v>0</v>
      </c>
      <c r="R26">
        <f t="shared" si="5"/>
        <v>0</v>
      </c>
      <c r="S26">
        <f t="shared" si="6"/>
        <v>824.54</v>
      </c>
      <c r="T26">
        <f t="shared" si="7"/>
        <v>0</v>
      </c>
      <c r="U26">
        <f t="shared" si="8"/>
        <v>5.4344565000000005</v>
      </c>
      <c r="V26">
        <f t="shared" si="9"/>
        <v>0</v>
      </c>
      <c r="W26">
        <f t="shared" si="10"/>
        <v>0</v>
      </c>
      <c r="X26">
        <f t="shared" si="11"/>
        <v>733.84</v>
      </c>
      <c r="Y26">
        <f t="shared" si="12"/>
        <v>362.8</v>
      </c>
      <c r="AA26">
        <v>0</v>
      </c>
      <c r="AB26">
        <f t="shared" si="13"/>
        <v>512.4</v>
      </c>
      <c r="AC26">
        <f t="shared" si="26"/>
        <v>26.09</v>
      </c>
      <c r="AD26">
        <f t="shared" si="26"/>
        <v>0</v>
      </c>
      <c r="AE26">
        <f t="shared" si="26"/>
        <v>0</v>
      </c>
      <c r="AF26">
        <f t="shared" si="26"/>
        <v>486.31</v>
      </c>
      <c r="AG26">
        <f>(AP26)</f>
        <v>0</v>
      </c>
      <c r="AH26">
        <f>(EW26)</f>
        <v>45.45</v>
      </c>
      <c r="AI26">
        <f>(EX26)</f>
        <v>0</v>
      </c>
      <c r="AJ26">
        <f>(AS26)</f>
        <v>0</v>
      </c>
      <c r="AK26">
        <v>512.4</v>
      </c>
      <c r="AL26">
        <v>26.09</v>
      </c>
      <c r="AM26">
        <v>0</v>
      </c>
      <c r="AN26">
        <v>0</v>
      </c>
      <c r="AO26">
        <v>486.31</v>
      </c>
      <c r="AP26">
        <v>0</v>
      </c>
      <c r="AQ26">
        <v>45.45</v>
      </c>
      <c r="AR26">
        <v>0</v>
      </c>
      <c r="AS26">
        <v>0</v>
      </c>
      <c r="AT26">
        <v>89</v>
      </c>
      <c r="AU26">
        <v>44</v>
      </c>
      <c r="AV26">
        <v>1.087</v>
      </c>
      <c r="AW26">
        <v>1.001</v>
      </c>
      <c r="AX26">
        <v>1</v>
      </c>
      <c r="AY26">
        <v>1</v>
      </c>
      <c r="AZ26">
        <v>14.18</v>
      </c>
      <c r="BA26">
        <v>14.18</v>
      </c>
      <c r="BB26">
        <v>1</v>
      </c>
      <c r="BC26">
        <v>5.12</v>
      </c>
      <c r="BH26">
        <v>0</v>
      </c>
      <c r="BI26">
        <v>1</v>
      </c>
      <c r="BJ26" t="s">
        <v>38</v>
      </c>
      <c r="BM26">
        <v>442</v>
      </c>
      <c r="BN26">
        <v>0</v>
      </c>
      <c r="BO26" t="s">
        <v>35</v>
      </c>
      <c r="BP26">
        <v>1</v>
      </c>
      <c r="BQ26">
        <v>60</v>
      </c>
      <c r="BR26">
        <v>0</v>
      </c>
      <c r="BS26">
        <v>14.18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89</v>
      </c>
      <c r="CA26">
        <v>44</v>
      </c>
      <c r="CF26">
        <v>0</v>
      </c>
      <c r="CG26">
        <v>0</v>
      </c>
      <c r="CM26">
        <v>0</v>
      </c>
      <c r="CO26">
        <v>0</v>
      </c>
      <c r="CP26">
        <f t="shared" si="14"/>
        <v>839.25</v>
      </c>
      <c r="CQ26">
        <f t="shared" si="15"/>
        <v>133.7143808</v>
      </c>
      <c r="CR26">
        <f t="shared" si="16"/>
        <v>0</v>
      </c>
      <c r="CS26">
        <f t="shared" si="17"/>
        <v>0</v>
      </c>
      <c r="CT26">
        <f t="shared" si="18"/>
        <v>7495.8169946</v>
      </c>
      <c r="CU26">
        <f t="shared" si="19"/>
        <v>0</v>
      </c>
      <c r="CV26">
        <f t="shared" si="20"/>
        <v>49.40415</v>
      </c>
      <c r="CW26">
        <f t="shared" si="21"/>
        <v>0</v>
      </c>
      <c r="CX26">
        <f t="shared" si="22"/>
        <v>0</v>
      </c>
      <c r="CY26">
        <f t="shared" si="23"/>
        <v>733.8406</v>
      </c>
      <c r="CZ26">
        <f t="shared" si="24"/>
        <v>362.7976</v>
      </c>
      <c r="DN26">
        <v>104</v>
      </c>
      <c r="DO26">
        <v>79</v>
      </c>
      <c r="DP26">
        <v>1.087</v>
      </c>
      <c r="DQ26">
        <v>1.001</v>
      </c>
      <c r="DR26">
        <v>1</v>
      </c>
      <c r="DS26">
        <v>1</v>
      </c>
      <c r="DT26">
        <v>1</v>
      </c>
      <c r="DU26">
        <v>1003</v>
      </c>
      <c r="DV26" t="s">
        <v>37</v>
      </c>
      <c r="DW26" t="s">
        <v>37</v>
      </c>
      <c r="DX26">
        <v>100</v>
      </c>
      <c r="EE26">
        <v>22377428</v>
      </c>
      <c r="EF26">
        <v>60</v>
      </c>
      <c r="EG26" t="s">
        <v>31</v>
      </c>
      <c r="EH26">
        <v>0</v>
      </c>
      <c r="EJ26">
        <v>1</v>
      </c>
      <c r="EK26">
        <v>442</v>
      </c>
      <c r="EL26" t="s">
        <v>39</v>
      </c>
      <c r="EM26" t="s">
        <v>40</v>
      </c>
      <c r="EQ26">
        <v>64</v>
      </c>
      <c r="ER26">
        <v>512.4</v>
      </c>
      <c r="ES26">
        <v>26.09</v>
      </c>
      <c r="ET26">
        <v>0</v>
      </c>
      <c r="EU26">
        <v>0</v>
      </c>
      <c r="EV26">
        <v>486.31</v>
      </c>
      <c r="EW26">
        <v>45.45</v>
      </c>
      <c r="EX26">
        <v>0</v>
      </c>
      <c r="EY26">
        <v>0</v>
      </c>
      <c r="EZ26">
        <v>0</v>
      </c>
      <c r="FQ26">
        <v>0</v>
      </c>
      <c r="FR26">
        <f t="shared" si="25"/>
        <v>0</v>
      </c>
      <c r="FS26">
        <v>0</v>
      </c>
      <c r="FX26">
        <v>89</v>
      </c>
      <c r="FY26">
        <v>44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1</v>
      </c>
      <c r="GL26">
        <v>0</v>
      </c>
    </row>
    <row r="27" spans="1:194" ht="12.75">
      <c r="A27">
        <v>18</v>
      </c>
      <c r="B27">
        <v>1</v>
      </c>
      <c r="C27">
        <v>8</v>
      </c>
      <c r="E27" t="s">
        <v>41</v>
      </c>
      <c r="F27" t="s">
        <v>42</v>
      </c>
      <c r="G27" t="s">
        <v>43</v>
      </c>
      <c r="H27" t="s">
        <v>44</v>
      </c>
      <c r="I27">
        <f>I26*J27</f>
        <v>0.015</v>
      </c>
      <c r="J27">
        <v>0.13636363636363635</v>
      </c>
      <c r="O27">
        <f t="shared" si="2"/>
        <v>464.92</v>
      </c>
      <c r="P27">
        <f t="shared" si="3"/>
        <v>464.92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15328.48</v>
      </c>
      <c r="AC27">
        <f aca="true" t="shared" si="27" ref="AC27:AJ27">AL27</f>
        <v>15328.48</v>
      </c>
      <c r="AD27">
        <f t="shared" si="27"/>
        <v>0</v>
      </c>
      <c r="AE27">
        <f t="shared" si="27"/>
        <v>0</v>
      </c>
      <c r="AF27">
        <f t="shared" si="27"/>
        <v>0</v>
      </c>
      <c r="AG27">
        <f t="shared" si="27"/>
        <v>0</v>
      </c>
      <c r="AH27">
        <f t="shared" si="27"/>
        <v>0</v>
      </c>
      <c r="AI27">
        <f t="shared" si="27"/>
        <v>0</v>
      </c>
      <c r="AJ27">
        <f t="shared" si="27"/>
        <v>0</v>
      </c>
      <c r="AK27">
        <v>15328.48</v>
      </c>
      <c r="AL27">
        <v>15328.48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1.001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2.02</v>
      </c>
      <c r="BH27">
        <v>3</v>
      </c>
      <c r="BI27">
        <v>1</v>
      </c>
      <c r="BJ27" t="s">
        <v>45</v>
      </c>
      <c r="BM27">
        <v>442</v>
      </c>
      <c r="BN27">
        <v>0</v>
      </c>
      <c r="BO27" t="s">
        <v>42</v>
      </c>
      <c r="BP27">
        <v>1</v>
      </c>
      <c r="BQ27">
        <v>60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14"/>
        <v>464.92</v>
      </c>
      <c r="CQ27">
        <f t="shared" si="15"/>
        <v>30994.493129599996</v>
      </c>
      <c r="CR27">
        <f t="shared" si="16"/>
        <v>0</v>
      </c>
      <c r="CS27">
        <f t="shared" si="17"/>
        <v>0</v>
      </c>
      <c r="CT27">
        <f t="shared" si="18"/>
        <v>0</v>
      </c>
      <c r="CU27">
        <f t="shared" si="19"/>
        <v>0</v>
      </c>
      <c r="CV27">
        <f t="shared" si="20"/>
        <v>0</v>
      </c>
      <c r="CW27">
        <f t="shared" si="21"/>
        <v>0</v>
      </c>
      <c r="CX27">
        <f t="shared" si="22"/>
        <v>0</v>
      </c>
      <c r="CY27">
        <f t="shared" si="23"/>
        <v>0</v>
      </c>
      <c r="CZ27">
        <f t="shared" si="24"/>
        <v>0</v>
      </c>
      <c r="DN27">
        <v>104</v>
      </c>
      <c r="DO27">
        <v>79</v>
      </c>
      <c r="DP27">
        <v>1.087</v>
      </c>
      <c r="DQ27">
        <v>1.001</v>
      </c>
      <c r="DR27">
        <v>1</v>
      </c>
      <c r="DS27">
        <v>1</v>
      </c>
      <c r="DT27">
        <v>1</v>
      </c>
      <c r="DU27">
        <v>1009</v>
      </c>
      <c r="DV27" t="s">
        <v>44</v>
      </c>
      <c r="DW27" t="s">
        <v>44</v>
      </c>
      <c r="DX27">
        <v>1000</v>
      </c>
      <c r="EE27">
        <v>22377428</v>
      </c>
      <c r="EF27">
        <v>60</v>
      </c>
      <c r="EG27" t="s">
        <v>31</v>
      </c>
      <c r="EH27">
        <v>0</v>
      </c>
      <c r="EJ27">
        <v>1</v>
      </c>
      <c r="EK27">
        <v>442</v>
      </c>
      <c r="EL27" t="s">
        <v>39</v>
      </c>
      <c r="EM27" t="s">
        <v>40</v>
      </c>
      <c r="EQ27">
        <v>0</v>
      </c>
      <c r="ER27">
        <v>15328.48</v>
      </c>
      <c r="ES27">
        <v>15328.48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25"/>
        <v>0</v>
      </c>
      <c r="FS27">
        <v>0</v>
      </c>
      <c r="FX27">
        <v>0</v>
      </c>
      <c r="FY27">
        <v>0</v>
      </c>
      <c r="GA27">
        <v>15328.48</v>
      </c>
      <c r="GB27">
        <v>15328.48</v>
      </c>
      <c r="GC27">
        <v>0</v>
      </c>
      <c r="GD27">
        <v>0</v>
      </c>
      <c r="GE27">
        <v>0</v>
      </c>
      <c r="GF27">
        <v>15328.48</v>
      </c>
      <c r="GG27">
        <v>15328.48</v>
      </c>
      <c r="GH27">
        <v>0</v>
      </c>
      <c r="GI27">
        <v>0</v>
      </c>
      <c r="GJ27">
        <v>0</v>
      </c>
      <c r="GK27">
        <v>0</v>
      </c>
      <c r="GL27">
        <v>0</v>
      </c>
    </row>
    <row r="28" spans="1:194" ht="12.75">
      <c r="A28">
        <v>17</v>
      </c>
      <c r="B28">
        <v>1</v>
      </c>
      <c r="C28">
        <f>ROW(SmtRes!A11)</f>
        <v>11</v>
      </c>
      <c r="D28">
        <f>ROW(EtalonRes!A11)</f>
        <v>11</v>
      </c>
      <c r="E28" t="s">
        <v>46</v>
      </c>
      <c r="F28" t="s">
        <v>27</v>
      </c>
      <c r="G28" t="s">
        <v>28</v>
      </c>
      <c r="H28" t="s">
        <v>29</v>
      </c>
      <c r="I28">
        <v>1.211</v>
      </c>
      <c r="J28">
        <v>0</v>
      </c>
      <c r="O28">
        <f t="shared" si="2"/>
        <v>3440.11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3440.11</v>
      </c>
      <c r="T28">
        <f t="shared" si="7"/>
        <v>0</v>
      </c>
      <c r="U28">
        <f t="shared" si="8"/>
        <v>22.07443497</v>
      </c>
      <c r="V28">
        <f t="shared" si="9"/>
        <v>0</v>
      </c>
      <c r="W28">
        <f t="shared" si="10"/>
        <v>0</v>
      </c>
      <c r="X28">
        <f t="shared" si="11"/>
        <v>2476.88</v>
      </c>
      <c r="Y28">
        <f t="shared" si="12"/>
        <v>1513.65</v>
      </c>
      <c r="AA28">
        <v>0</v>
      </c>
      <c r="AB28">
        <f t="shared" si="13"/>
        <v>191.34</v>
      </c>
      <c r="AC28">
        <f aca="true" t="shared" si="28" ref="AC28:AF29">(ES28)</f>
        <v>0</v>
      </c>
      <c r="AD28">
        <f t="shared" si="28"/>
        <v>0</v>
      </c>
      <c r="AE28">
        <f t="shared" si="28"/>
        <v>0</v>
      </c>
      <c r="AF28">
        <f t="shared" si="28"/>
        <v>191.34</v>
      </c>
      <c r="AG28">
        <f>(AP28)</f>
        <v>0</v>
      </c>
      <c r="AH28">
        <f>(EW28)</f>
        <v>17.41</v>
      </c>
      <c r="AI28">
        <f>(EX28)</f>
        <v>0</v>
      </c>
      <c r="AJ28">
        <f>(AS28)</f>
        <v>0</v>
      </c>
      <c r="AK28">
        <v>191.34</v>
      </c>
      <c r="AL28">
        <v>0</v>
      </c>
      <c r="AM28">
        <v>0</v>
      </c>
      <c r="AN28">
        <v>0</v>
      </c>
      <c r="AO28">
        <v>191.34</v>
      </c>
      <c r="AP28">
        <v>0</v>
      </c>
      <c r="AQ28">
        <v>17.41</v>
      </c>
      <c r="AR28">
        <v>0</v>
      </c>
      <c r="AS28">
        <v>0</v>
      </c>
      <c r="AT28">
        <v>72</v>
      </c>
      <c r="AU28">
        <v>44</v>
      </c>
      <c r="AV28">
        <v>1.047</v>
      </c>
      <c r="AW28">
        <v>1</v>
      </c>
      <c r="AX28">
        <v>1</v>
      </c>
      <c r="AY28">
        <v>1</v>
      </c>
      <c r="AZ28">
        <v>14.18</v>
      </c>
      <c r="BA28">
        <v>14.18</v>
      </c>
      <c r="BB28">
        <v>1</v>
      </c>
      <c r="BC28">
        <v>1</v>
      </c>
      <c r="BH28">
        <v>0</v>
      </c>
      <c r="BI28">
        <v>1</v>
      </c>
      <c r="BJ28" t="s">
        <v>30</v>
      </c>
      <c r="BM28">
        <v>441</v>
      </c>
      <c r="BN28">
        <v>0</v>
      </c>
      <c r="BO28" t="s">
        <v>27</v>
      </c>
      <c r="BP28">
        <v>1</v>
      </c>
      <c r="BQ28">
        <v>60</v>
      </c>
      <c r="BR28">
        <v>0</v>
      </c>
      <c r="BS28">
        <v>14.18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72</v>
      </c>
      <c r="CA28">
        <v>44</v>
      </c>
      <c r="CF28">
        <v>0</v>
      </c>
      <c r="CG28">
        <v>0</v>
      </c>
      <c r="CM28">
        <v>0</v>
      </c>
      <c r="CO28">
        <v>0</v>
      </c>
      <c r="CP28">
        <f t="shared" si="14"/>
        <v>3440.11</v>
      </c>
      <c r="CQ28">
        <f t="shared" si="15"/>
        <v>0</v>
      </c>
      <c r="CR28">
        <f t="shared" si="16"/>
        <v>0</v>
      </c>
      <c r="CS28">
        <f t="shared" si="17"/>
        <v>0</v>
      </c>
      <c r="CT28">
        <f t="shared" si="18"/>
        <v>2840.7216564</v>
      </c>
      <c r="CU28">
        <f t="shared" si="19"/>
        <v>0</v>
      </c>
      <c r="CV28">
        <f t="shared" si="20"/>
        <v>18.22827</v>
      </c>
      <c r="CW28">
        <f t="shared" si="21"/>
        <v>0</v>
      </c>
      <c r="CX28">
        <f t="shared" si="22"/>
        <v>0</v>
      </c>
      <c r="CY28">
        <f t="shared" si="23"/>
        <v>2476.8792</v>
      </c>
      <c r="CZ28">
        <f t="shared" si="24"/>
        <v>1513.6484</v>
      </c>
      <c r="DN28">
        <v>80</v>
      </c>
      <c r="DO28">
        <v>55</v>
      </c>
      <c r="DP28">
        <v>1.047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29</v>
      </c>
      <c r="DW28" t="s">
        <v>29</v>
      </c>
      <c r="DX28">
        <v>100</v>
      </c>
      <c r="EE28">
        <v>22377427</v>
      </c>
      <c r="EF28">
        <v>60</v>
      </c>
      <c r="EG28" t="s">
        <v>31</v>
      </c>
      <c r="EH28">
        <v>0</v>
      </c>
      <c r="EJ28">
        <v>1</v>
      </c>
      <c r="EK28">
        <v>441</v>
      </c>
      <c r="EL28" t="s">
        <v>32</v>
      </c>
      <c r="EM28" t="s">
        <v>33</v>
      </c>
      <c r="EQ28">
        <v>64</v>
      </c>
      <c r="ER28">
        <v>191.34</v>
      </c>
      <c r="ES28">
        <v>0</v>
      </c>
      <c r="ET28">
        <v>0</v>
      </c>
      <c r="EU28">
        <v>0</v>
      </c>
      <c r="EV28">
        <v>191.34</v>
      </c>
      <c r="EW28">
        <v>17.41</v>
      </c>
      <c r="EX28">
        <v>0</v>
      </c>
      <c r="EY28">
        <v>0</v>
      </c>
      <c r="EZ28">
        <v>0</v>
      </c>
      <c r="FQ28">
        <v>0</v>
      </c>
      <c r="FR28">
        <f t="shared" si="25"/>
        <v>0</v>
      </c>
      <c r="FS28">
        <v>0</v>
      </c>
      <c r="FX28">
        <v>72</v>
      </c>
      <c r="FY28">
        <v>44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1</v>
      </c>
      <c r="GL28">
        <v>0</v>
      </c>
    </row>
    <row r="29" spans="1:194" ht="12.75">
      <c r="A29">
        <v>17</v>
      </c>
      <c r="B29">
        <v>1</v>
      </c>
      <c r="C29">
        <f>ROW(SmtRes!A16)</f>
        <v>16</v>
      </c>
      <c r="D29">
        <f>ROW(EtalonRes!A16)</f>
        <v>16</v>
      </c>
      <c r="E29" t="s">
        <v>47</v>
      </c>
      <c r="F29" t="s">
        <v>48</v>
      </c>
      <c r="G29" t="s">
        <v>49</v>
      </c>
      <c r="H29" t="s">
        <v>37</v>
      </c>
      <c r="I29">
        <v>0.61</v>
      </c>
      <c r="J29">
        <v>0</v>
      </c>
      <c r="O29">
        <f t="shared" si="2"/>
        <v>6485.38</v>
      </c>
      <c r="P29">
        <f t="shared" si="3"/>
        <v>232.17</v>
      </c>
      <c r="Q29">
        <f t="shared" si="4"/>
        <v>0</v>
      </c>
      <c r="R29">
        <f t="shared" si="5"/>
        <v>0</v>
      </c>
      <c r="S29">
        <f t="shared" si="6"/>
        <v>6253.21</v>
      </c>
      <c r="T29">
        <f t="shared" si="7"/>
        <v>0</v>
      </c>
      <c r="U29">
        <f t="shared" si="8"/>
        <v>41.9192854</v>
      </c>
      <c r="V29">
        <f t="shared" si="9"/>
        <v>0</v>
      </c>
      <c r="W29">
        <f t="shared" si="10"/>
        <v>0</v>
      </c>
      <c r="X29">
        <f t="shared" si="11"/>
        <v>5565.36</v>
      </c>
      <c r="Y29">
        <f t="shared" si="12"/>
        <v>2751.41</v>
      </c>
      <c r="AA29">
        <v>0</v>
      </c>
      <c r="AB29">
        <f t="shared" si="13"/>
        <v>742.51</v>
      </c>
      <c r="AC29">
        <f t="shared" si="28"/>
        <v>77.44</v>
      </c>
      <c r="AD29">
        <f t="shared" si="28"/>
        <v>0</v>
      </c>
      <c r="AE29">
        <f t="shared" si="28"/>
        <v>0</v>
      </c>
      <c r="AF29">
        <f t="shared" si="28"/>
        <v>665.07</v>
      </c>
      <c r="AG29">
        <f>(AP29)</f>
        <v>0</v>
      </c>
      <c r="AH29">
        <f>(EW29)</f>
        <v>63.22</v>
      </c>
      <c r="AI29">
        <f>(EX29)</f>
        <v>0</v>
      </c>
      <c r="AJ29">
        <f>(AS29)</f>
        <v>0</v>
      </c>
      <c r="AK29">
        <v>742.51</v>
      </c>
      <c r="AL29">
        <v>77.44</v>
      </c>
      <c r="AM29">
        <v>0</v>
      </c>
      <c r="AN29">
        <v>0</v>
      </c>
      <c r="AO29">
        <v>665.07</v>
      </c>
      <c r="AP29">
        <v>0</v>
      </c>
      <c r="AQ29">
        <v>63.22</v>
      </c>
      <c r="AR29">
        <v>0</v>
      </c>
      <c r="AS29">
        <v>0</v>
      </c>
      <c r="AT29">
        <v>89</v>
      </c>
      <c r="AU29">
        <v>44</v>
      </c>
      <c r="AV29">
        <v>1.087</v>
      </c>
      <c r="AW29">
        <v>1.001</v>
      </c>
      <c r="AX29">
        <v>1</v>
      </c>
      <c r="AY29">
        <v>1</v>
      </c>
      <c r="AZ29">
        <v>14.18</v>
      </c>
      <c r="BA29">
        <v>14.18</v>
      </c>
      <c r="BB29">
        <v>1</v>
      </c>
      <c r="BC29">
        <v>4.91</v>
      </c>
      <c r="BH29">
        <v>0</v>
      </c>
      <c r="BI29">
        <v>1</v>
      </c>
      <c r="BJ29" t="s">
        <v>50</v>
      </c>
      <c r="BM29">
        <v>442</v>
      </c>
      <c r="BN29">
        <v>0</v>
      </c>
      <c r="BO29" t="s">
        <v>48</v>
      </c>
      <c r="BP29">
        <v>1</v>
      </c>
      <c r="BQ29">
        <v>60</v>
      </c>
      <c r="BR29">
        <v>0</v>
      </c>
      <c r="BS29">
        <v>14.18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</v>
      </c>
      <c r="CA29">
        <v>44</v>
      </c>
      <c r="CF29">
        <v>0</v>
      </c>
      <c r="CG29">
        <v>0</v>
      </c>
      <c r="CM29">
        <v>0</v>
      </c>
      <c r="CO29">
        <v>0</v>
      </c>
      <c r="CP29">
        <f t="shared" si="14"/>
        <v>6485.38</v>
      </c>
      <c r="CQ29">
        <f t="shared" si="15"/>
        <v>380.6106304</v>
      </c>
      <c r="CR29">
        <f t="shared" si="16"/>
        <v>0</v>
      </c>
      <c r="CS29">
        <f t="shared" si="17"/>
        <v>0</v>
      </c>
      <c r="CT29">
        <f t="shared" si="18"/>
        <v>10251.1628562</v>
      </c>
      <c r="CU29">
        <f t="shared" si="19"/>
        <v>0</v>
      </c>
      <c r="CV29">
        <f t="shared" si="20"/>
        <v>68.72014</v>
      </c>
      <c r="CW29">
        <f t="shared" si="21"/>
        <v>0</v>
      </c>
      <c r="CX29">
        <f t="shared" si="22"/>
        <v>0</v>
      </c>
      <c r="CY29">
        <f t="shared" si="23"/>
        <v>5565.3569</v>
      </c>
      <c r="CZ29">
        <f t="shared" si="24"/>
        <v>2751.4124</v>
      </c>
      <c r="DN29">
        <v>104</v>
      </c>
      <c r="DO29">
        <v>79</v>
      </c>
      <c r="DP29">
        <v>1.087</v>
      </c>
      <c r="DQ29">
        <v>1.001</v>
      </c>
      <c r="DR29">
        <v>1</v>
      </c>
      <c r="DS29">
        <v>1</v>
      </c>
      <c r="DT29">
        <v>1</v>
      </c>
      <c r="DU29">
        <v>1003</v>
      </c>
      <c r="DV29" t="s">
        <v>37</v>
      </c>
      <c r="DW29" t="s">
        <v>37</v>
      </c>
      <c r="DX29">
        <v>100</v>
      </c>
      <c r="EE29">
        <v>22377428</v>
      </c>
      <c r="EF29">
        <v>60</v>
      </c>
      <c r="EG29" t="s">
        <v>31</v>
      </c>
      <c r="EH29">
        <v>0</v>
      </c>
      <c r="EJ29">
        <v>1</v>
      </c>
      <c r="EK29">
        <v>442</v>
      </c>
      <c r="EL29" t="s">
        <v>39</v>
      </c>
      <c r="EM29" t="s">
        <v>40</v>
      </c>
      <c r="EQ29">
        <v>64</v>
      </c>
      <c r="ER29">
        <v>742.51</v>
      </c>
      <c r="ES29">
        <v>77.44</v>
      </c>
      <c r="ET29">
        <v>0</v>
      </c>
      <c r="EU29">
        <v>0</v>
      </c>
      <c r="EV29">
        <v>665.07</v>
      </c>
      <c r="EW29">
        <v>63.22</v>
      </c>
      <c r="EX29">
        <v>0</v>
      </c>
      <c r="EY29">
        <v>0</v>
      </c>
      <c r="EZ29">
        <v>0</v>
      </c>
      <c r="FQ29">
        <v>0</v>
      </c>
      <c r="FR29">
        <f t="shared" si="25"/>
        <v>0</v>
      </c>
      <c r="FS29">
        <v>0</v>
      </c>
      <c r="FX29">
        <v>89</v>
      </c>
      <c r="FY29">
        <v>44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1</v>
      </c>
      <c r="GL29">
        <v>0</v>
      </c>
    </row>
    <row r="30" spans="1:194" ht="12.75">
      <c r="A30">
        <v>18</v>
      </c>
      <c r="B30">
        <v>1</v>
      </c>
      <c r="C30">
        <v>14</v>
      </c>
      <c r="E30" t="s">
        <v>51</v>
      </c>
      <c r="F30" t="s">
        <v>42</v>
      </c>
      <c r="G30" t="s">
        <v>43</v>
      </c>
      <c r="H30" t="s">
        <v>44</v>
      </c>
      <c r="I30">
        <f>I29*J30</f>
        <v>0.198</v>
      </c>
      <c r="J30">
        <v>0.32459016393442625</v>
      </c>
      <c r="O30">
        <f t="shared" si="2"/>
        <v>6136.91</v>
      </c>
      <c r="P30">
        <f t="shared" si="3"/>
        <v>6136.91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  <c r="AA30">
        <v>0</v>
      </c>
      <c r="AB30">
        <f t="shared" si="13"/>
        <v>15328.48</v>
      </c>
      <c r="AC30">
        <f aca="true" t="shared" si="29" ref="AC30:AJ30">AL30</f>
        <v>15328.48</v>
      </c>
      <c r="AD30">
        <f t="shared" si="29"/>
        <v>0</v>
      </c>
      <c r="AE30">
        <f t="shared" si="29"/>
        <v>0</v>
      </c>
      <c r="AF30">
        <f t="shared" si="29"/>
        <v>0</v>
      </c>
      <c r="AG30">
        <f t="shared" si="29"/>
        <v>0</v>
      </c>
      <c r="AH30">
        <f t="shared" si="29"/>
        <v>0</v>
      </c>
      <c r="AI30">
        <f t="shared" si="29"/>
        <v>0</v>
      </c>
      <c r="AJ30">
        <f t="shared" si="29"/>
        <v>0</v>
      </c>
      <c r="AK30">
        <v>15328.48</v>
      </c>
      <c r="AL30">
        <v>15328.48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1.001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2.02</v>
      </c>
      <c r="BH30">
        <v>3</v>
      </c>
      <c r="BI30">
        <v>1</v>
      </c>
      <c r="BJ30" t="s">
        <v>45</v>
      </c>
      <c r="BM30">
        <v>442</v>
      </c>
      <c r="BN30">
        <v>0</v>
      </c>
      <c r="BO30" t="s">
        <v>42</v>
      </c>
      <c r="BP30">
        <v>1</v>
      </c>
      <c r="BQ30">
        <v>60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CP30">
        <f t="shared" si="14"/>
        <v>6136.91</v>
      </c>
      <c r="CQ30">
        <f t="shared" si="15"/>
        <v>30994.493129599996</v>
      </c>
      <c r="CR30">
        <f t="shared" si="16"/>
        <v>0</v>
      </c>
      <c r="CS30">
        <f t="shared" si="17"/>
        <v>0</v>
      </c>
      <c r="CT30">
        <f t="shared" si="18"/>
        <v>0</v>
      </c>
      <c r="CU30">
        <f t="shared" si="19"/>
        <v>0</v>
      </c>
      <c r="CV30">
        <f t="shared" si="20"/>
        <v>0</v>
      </c>
      <c r="CW30">
        <f t="shared" si="21"/>
        <v>0</v>
      </c>
      <c r="CX30">
        <f t="shared" si="22"/>
        <v>0</v>
      </c>
      <c r="CY30">
        <f t="shared" si="23"/>
        <v>0</v>
      </c>
      <c r="CZ30">
        <f t="shared" si="24"/>
        <v>0</v>
      </c>
      <c r="DN30">
        <v>104</v>
      </c>
      <c r="DO30">
        <v>79</v>
      </c>
      <c r="DP30">
        <v>1.087</v>
      </c>
      <c r="DQ30">
        <v>1.001</v>
      </c>
      <c r="DR30">
        <v>1</v>
      </c>
      <c r="DS30">
        <v>1</v>
      </c>
      <c r="DT30">
        <v>1</v>
      </c>
      <c r="DU30">
        <v>1009</v>
      </c>
      <c r="DV30" t="s">
        <v>44</v>
      </c>
      <c r="DW30" t="s">
        <v>44</v>
      </c>
      <c r="DX30">
        <v>1000</v>
      </c>
      <c r="EE30">
        <v>22377428</v>
      </c>
      <c r="EF30">
        <v>60</v>
      </c>
      <c r="EG30" t="s">
        <v>31</v>
      </c>
      <c r="EH30">
        <v>0</v>
      </c>
      <c r="EJ30">
        <v>1</v>
      </c>
      <c r="EK30">
        <v>442</v>
      </c>
      <c r="EL30" t="s">
        <v>39</v>
      </c>
      <c r="EM30" t="s">
        <v>40</v>
      </c>
      <c r="EQ30">
        <v>0</v>
      </c>
      <c r="ER30">
        <v>15328.48</v>
      </c>
      <c r="ES30">
        <v>15328.48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25"/>
        <v>0</v>
      </c>
      <c r="FS30">
        <v>0</v>
      </c>
      <c r="FX30">
        <v>0</v>
      </c>
      <c r="FY30">
        <v>0</v>
      </c>
      <c r="GA30">
        <v>15328.48</v>
      </c>
      <c r="GB30">
        <v>15328.48</v>
      </c>
      <c r="GC30">
        <v>0</v>
      </c>
      <c r="GD30">
        <v>0</v>
      </c>
      <c r="GE30">
        <v>0</v>
      </c>
      <c r="GF30">
        <v>15328.48</v>
      </c>
      <c r="GG30">
        <v>15328.48</v>
      </c>
      <c r="GH30">
        <v>0</v>
      </c>
      <c r="GI30">
        <v>0</v>
      </c>
      <c r="GJ30">
        <v>0</v>
      </c>
      <c r="GK30">
        <v>0</v>
      </c>
      <c r="GL30">
        <v>0</v>
      </c>
    </row>
    <row r="31" spans="1:194" ht="12.75">
      <c r="A31">
        <v>17</v>
      </c>
      <c r="B31">
        <v>1</v>
      </c>
      <c r="C31">
        <f>ROW(SmtRes!A19)</f>
        <v>19</v>
      </c>
      <c r="D31">
        <f>ROW(EtalonRes!A19)</f>
        <v>19</v>
      </c>
      <c r="E31" t="s">
        <v>52</v>
      </c>
      <c r="F31" t="s">
        <v>53</v>
      </c>
      <c r="G31" t="s">
        <v>54</v>
      </c>
      <c r="H31" t="s">
        <v>55</v>
      </c>
      <c r="I31">
        <v>0.1</v>
      </c>
      <c r="J31">
        <v>0</v>
      </c>
      <c r="O31">
        <f t="shared" si="2"/>
        <v>306.76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306.76</v>
      </c>
      <c r="T31">
        <f t="shared" si="7"/>
        <v>0</v>
      </c>
      <c r="U31">
        <f t="shared" si="8"/>
        <v>2.02182</v>
      </c>
      <c r="V31">
        <f t="shared" si="9"/>
        <v>0</v>
      </c>
      <c r="W31">
        <f t="shared" si="10"/>
        <v>0</v>
      </c>
      <c r="X31">
        <f t="shared" si="11"/>
        <v>273.02</v>
      </c>
      <c r="Y31">
        <f t="shared" si="12"/>
        <v>134.97</v>
      </c>
      <c r="AA31">
        <v>0</v>
      </c>
      <c r="AB31">
        <f t="shared" si="13"/>
        <v>199.02</v>
      </c>
      <c r="AC31">
        <f>(ES31)</f>
        <v>0</v>
      </c>
      <c r="AD31">
        <f>(ET31)</f>
        <v>0</v>
      </c>
      <c r="AE31">
        <f>(EU31)</f>
        <v>0</v>
      </c>
      <c r="AF31">
        <f>(EV31)</f>
        <v>199.02</v>
      </c>
      <c r="AG31">
        <f>(AP31)</f>
        <v>0</v>
      </c>
      <c r="AH31">
        <f>(EW31)</f>
        <v>18.6</v>
      </c>
      <c r="AI31">
        <f>(EX31)</f>
        <v>0</v>
      </c>
      <c r="AJ31">
        <f>(AS31)</f>
        <v>0</v>
      </c>
      <c r="AK31">
        <v>199.02</v>
      </c>
      <c r="AL31">
        <v>0</v>
      </c>
      <c r="AM31">
        <v>0</v>
      </c>
      <c r="AN31">
        <v>0</v>
      </c>
      <c r="AO31">
        <v>199.02</v>
      </c>
      <c r="AP31">
        <v>0</v>
      </c>
      <c r="AQ31">
        <v>18.6</v>
      </c>
      <c r="AR31">
        <v>0</v>
      </c>
      <c r="AS31">
        <v>0</v>
      </c>
      <c r="AT31">
        <v>89</v>
      </c>
      <c r="AU31">
        <v>44</v>
      </c>
      <c r="AV31">
        <v>1.087</v>
      </c>
      <c r="AW31">
        <v>1.001</v>
      </c>
      <c r="AX31">
        <v>1</v>
      </c>
      <c r="AY31">
        <v>1</v>
      </c>
      <c r="AZ31">
        <v>14.18</v>
      </c>
      <c r="BA31">
        <v>14.18</v>
      </c>
      <c r="BB31">
        <v>1</v>
      </c>
      <c r="BC31">
        <v>1</v>
      </c>
      <c r="BH31">
        <v>0</v>
      </c>
      <c r="BI31">
        <v>1</v>
      </c>
      <c r="BJ31" t="s">
        <v>56</v>
      </c>
      <c r="BM31">
        <v>442</v>
      </c>
      <c r="BN31">
        <v>0</v>
      </c>
      <c r="BO31" t="s">
        <v>53</v>
      </c>
      <c r="BP31">
        <v>1</v>
      </c>
      <c r="BQ31">
        <v>60</v>
      </c>
      <c r="BR31">
        <v>0</v>
      </c>
      <c r="BS31">
        <v>14.18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89</v>
      </c>
      <c r="CA31">
        <v>44</v>
      </c>
      <c r="CF31">
        <v>0</v>
      </c>
      <c r="CG31">
        <v>0</v>
      </c>
      <c r="CM31">
        <v>0</v>
      </c>
      <c r="CO31">
        <v>0</v>
      </c>
      <c r="CP31">
        <f t="shared" si="14"/>
        <v>306.76</v>
      </c>
      <c r="CQ31">
        <f t="shared" si="15"/>
        <v>0</v>
      </c>
      <c r="CR31">
        <f t="shared" si="16"/>
        <v>0</v>
      </c>
      <c r="CS31">
        <f t="shared" si="17"/>
        <v>0</v>
      </c>
      <c r="CT31">
        <f t="shared" si="18"/>
        <v>3067.6266132</v>
      </c>
      <c r="CU31">
        <f t="shared" si="19"/>
        <v>0</v>
      </c>
      <c r="CV31">
        <f t="shared" si="20"/>
        <v>20.2182</v>
      </c>
      <c r="CW31">
        <f t="shared" si="21"/>
        <v>0</v>
      </c>
      <c r="CX31">
        <f t="shared" si="22"/>
        <v>0</v>
      </c>
      <c r="CY31">
        <f t="shared" si="23"/>
        <v>273.0164</v>
      </c>
      <c r="CZ31">
        <f t="shared" si="24"/>
        <v>134.9744</v>
      </c>
      <c r="DN31">
        <v>104</v>
      </c>
      <c r="DO31">
        <v>79</v>
      </c>
      <c r="DP31">
        <v>1.087</v>
      </c>
      <c r="DQ31">
        <v>1.001</v>
      </c>
      <c r="DR31">
        <v>1</v>
      </c>
      <c r="DS31">
        <v>1</v>
      </c>
      <c r="DT31">
        <v>1</v>
      </c>
      <c r="DU31">
        <v>1010</v>
      </c>
      <c r="DV31" t="s">
        <v>55</v>
      </c>
      <c r="DW31" t="s">
        <v>55</v>
      </c>
      <c r="DX31">
        <v>10</v>
      </c>
      <c r="EE31">
        <v>22377428</v>
      </c>
      <c r="EF31">
        <v>60</v>
      </c>
      <c r="EG31" t="s">
        <v>31</v>
      </c>
      <c r="EH31">
        <v>0</v>
      </c>
      <c r="EJ31">
        <v>1</v>
      </c>
      <c r="EK31">
        <v>442</v>
      </c>
      <c r="EL31" t="s">
        <v>39</v>
      </c>
      <c r="EM31" t="s">
        <v>40</v>
      </c>
      <c r="EQ31">
        <v>64</v>
      </c>
      <c r="ER31">
        <v>199.02</v>
      </c>
      <c r="ES31">
        <v>0</v>
      </c>
      <c r="ET31">
        <v>0</v>
      </c>
      <c r="EU31">
        <v>0</v>
      </c>
      <c r="EV31">
        <v>199.02</v>
      </c>
      <c r="EW31">
        <v>18.6</v>
      </c>
      <c r="EX31">
        <v>0</v>
      </c>
      <c r="EY31">
        <v>0</v>
      </c>
      <c r="EZ31">
        <v>0</v>
      </c>
      <c r="FQ31">
        <v>0</v>
      </c>
      <c r="FR31">
        <f t="shared" si="25"/>
        <v>0</v>
      </c>
      <c r="FS31">
        <v>0</v>
      </c>
      <c r="FX31">
        <v>89</v>
      </c>
      <c r="FY31">
        <v>44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</v>
      </c>
      <c r="GL31">
        <v>0</v>
      </c>
    </row>
    <row r="32" spans="1:194" ht="12.75">
      <c r="A32">
        <v>18</v>
      </c>
      <c r="B32">
        <v>1</v>
      </c>
      <c r="C32">
        <v>19</v>
      </c>
      <c r="E32" t="s">
        <v>57</v>
      </c>
      <c r="F32" t="s">
        <v>42</v>
      </c>
      <c r="G32" t="s">
        <v>43</v>
      </c>
      <c r="H32" t="s">
        <v>44</v>
      </c>
      <c r="I32">
        <f>I31*J32</f>
        <v>0.005</v>
      </c>
      <c r="J32">
        <v>0.049999999999999996</v>
      </c>
      <c r="O32">
        <f t="shared" si="2"/>
        <v>154.97</v>
      </c>
      <c r="P32">
        <f t="shared" si="3"/>
        <v>154.97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V32">
        <f t="shared" si="9"/>
        <v>0</v>
      </c>
      <c r="W32">
        <f t="shared" si="10"/>
        <v>0</v>
      </c>
      <c r="X32">
        <f t="shared" si="11"/>
        <v>0</v>
      </c>
      <c r="Y32">
        <f t="shared" si="12"/>
        <v>0</v>
      </c>
      <c r="AA32">
        <v>0</v>
      </c>
      <c r="AB32">
        <f t="shared" si="13"/>
        <v>15328.48</v>
      </c>
      <c r="AC32">
        <f aca="true" t="shared" si="30" ref="AC32:AJ32">AL32</f>
        <v>15328.48</v>
      </c>
      <c r="AD32">
        <f t="shared" si="30"/>
        <v>0</v>
      </c>
      <c r="AE32">
        <f t="shared" si="30"/>
        <v>0</v>
      </c>
      <c r="AF32">
        <f t="shared" si="30"/>
        <v>0</v>
      </c>
      <c r="AG32">
        <f t="shared" si="30"/>
        <v>0</v>
      </c>
      <c r="AH32">
        <f t="shared" si="30"/>
        <v>0</v>
      </c>
      <c r="AI32">
        <f t="shared" si="30"/>
        <v>0</v>
      </c>
      <c r="AJ32">
        <f t="shared" si="30"/>
        <v>0</v>
      </c>
      <c r="AK32">
        <v>15328.48</v>
      </c>
      <c r="AL32">
        <v>15328.48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1.001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2.02</v>
      </c>
      <c r="BH32">
        <v>3</v>
      </c>
      <c r="BI32">
        <v>1</v>
      </c>
      <c r="BJ32" t="s">
        <v>45</v>
      </c>
      <c r="BM32">
        <v>442</v>
      </c>
      <c r="BN32">
        <v>0</v>
      </c>
      <c r="BO32" t="s">
        <v>42</v>
      </c>
      <c r="BP32">
        <v>1</v>
      </c>
      <c r="BQ32">
        <v>60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14"/>
        <v>154.97</v>
      </c>
      <c r="CQ32">
        <f t="shared" si="15"/>
        <v>30994.493129599996</v>
      </c>
      <c r="CR32">
        <f t="shared" si="16"/>
        <v>0</v>
      </c>
      <c r="CS32">
        <f t="shared" si="17"/>
        <v>0</v>
      </c>
      <c r="CT32">
        <f t="shared" si="18"/>
        <v>0</v>
      </c>
      <c r="CU32">
        <f t="shared" si="19"/>
        <v>0</v>
      </c>
      <c r="CV32">
        <f t="shared" si="20"/>
        <v>0</v>
      </c>
      <c r="CW32">
        <f t="shared" si="21"/>
        <v>0</v>
      </c>
      <c r="CX32">
        <f t="shared" si="22"/>
        <v>0</v>
      </c>
      <c r="CY32">
        <f t="shared" si="23"/>
        <v>0</v>
      </c>
      <c r="CZ32">
        <f t="shared" si="24"/>
        <v>0</v>
      </c>
      <c r="DN32">
        <v>104</v>
      </c>
      <c r="DO32">
        <v>79</v>
      </c>
      <c r="DP32">
        <v>1.087</v>
      </c>
      <c r="DQ32">
        <v>1.001</v>
      </c>
      <c r="DR32">
        <v>1</v>
      </c>
      <c r="DS32">
        <v>1</v>
      </c>
      <c r="DT32">
        <v>1</v>
      </c>
      <c r="DU32">
        <v>1009</v>
      </c>
      <c r="DV32" t="s">
        <v>44</v>
      </c>
      <c r="DW32" t="s">
        <v>44</v>
      </c>
      <c r="DX32">
        <v>1000</v>
      </c>
      <c r="EE32">
        <v>22377428</v>
      </c>
      <c r="EF32">
        <v>60</v>
      </c>
      <c r="EG32" t="s">
        <v>31</v>
      </c>
      <c r="EH32">
        <v>0</v>
      </c>
      <c r="EJ32">
        <v>1</v>
      </c>
      <c r="EK32">
        <v>442</v>
      </c>
      <c r="EL32" t="s">
        <v>39</v>
      </c>
      <c r="EM32" t="s">
        <v>40</v>
      </c>
      <c r="EQ32">
        <v>0</v>
      </c>
      <c r="ER32">
        <v>15328.48</v>
      </c>
      <c r="ES32">
        <v>15328.48</v>
      </c>
      <c r="ET32">
        <v>0</v>
      </c>
      <c r="EU32">
        <v>0</v>
      </c>
      <c r="EV32">
        <v>0</v>
      </c>
      <c r="EW32">
        <v>0</v>
      </c>
      <c r="EX32">
        <v>0</v>
      </c>
      <c r="EZ32">
        <v>0</v>
      </c>
      <c r="FQ32">
        <v>0</v>
      </c>
      <c r="FR32">
        <f t="shared" si="25"/>
        <v>0</v>
      </c>
      <c r="FS32">
        <v>0</v>
      </c>
      <c r="FX32">
        <v>0</v>
      </c>
      <c r="FY32">
        <v>0</v>
      </c>
      <c r="GA32">
        <v>15328.48</v>
      </c>
      <c r="GB32">
        <v>15328.48</v>
      </c>
      <c r="GC32">
        <v>0</v>
      </c>
      <c r="GD32">
        <v>0</v>
      </c>
      <c r="GE32">
        <v>0</v>
      </c>
      <c r="GF32">
        <v>15328.48</v>
      </c>
      <c r="GG32">
        <v>15328.48</v>
      </c>
      <c r="GH32">
        <v>0</v>
      </c>
      <c r="GI32">
        <v>0</v>
      </c>
      <c r="GJ32">
        <v>0</v>
      </c>
      <c r="GK32">
        <v>0</v>
      </c>
      <c r="GL32">
        <v>0</v>
      </c>
    </row>
    <row r="33" spans="1:194" ht="12.75">
      <c r="A33">
        <v>17</v>
      </c>
      <c r="B33">
        <v>1</v>
      </c>
      <c r="C33">
        <f>ROW(SmtRes!A26)</f>
        <v>26</v>
      </c>
      <c r="D33">
        <f>ROW(EtalonRes!A26)</f>
        <v>26</v>
      </c>
      <c r="E33" t="s">
        <v>58</v>
      </c>
      <c r="F33" t="s">
        <v>59</v>
      </c>
      <c r="G33" t="s">
        <v>60</v>
      </c>
      <c r="H33" t="s">
        <v>61</v>
      </c>
      <c r="I33">
        <v>2.09</v>
      </c>
      <c r="J33">
        <v>0</v>
      </c>
      <c r="O33">
        <f t="shared" si="2"/>
        <v>55578.07</v>
      </c>
      <c r="P33">
        <f t="shared" si="3"/>
        <v>12445.86</v>
      </c>
      <c r="Q33">
        <f t="shared" si="4"/>
        <v>868.98</v>
      </c>
      <c r="R33">
        <f t="shared" si="5"/>
        <v>537.98</v>
      </c>
      <c r="S33">
        <f t="shared" si="6"/>
        <v>42263.23</v>
      </c>
      <c r="T33">
        <f t="shared" si="7"/>
        <v>0</v>
      </c>
      <c r="U33">
        <f t="shared" si="8"/>
        <v>256.71679</v>
      </c>
      <c r="V33">
        <f t="shared" si="9"/>
        <v>0</v>
      </c>
      <c r="W33">
        <f t="shared" si="10"/>
        <v>0</v>
      </c>
      <c r="X33">
        <f t="shared" si="11"/>
        <v>37614.27</v>
      </c>
      <c r="Y33">
        <f t="shared" si="12"/>
        <v>18595.82</v>
      </c>
      <c r="AA33">
        <v>0</v>
      </c>
      <c r="AB33">
        <f t="shared" si="13"/>
        <v>2338.79</v>
      </c>
      <c r="AC33">
        <f>(ES33)</f>
        <v>972.06</v>
      </c>
      <c r="AD33">
        <f>(ET33)</f>
        <v>54.8</v>
      </c>
      <c r="AE33">
        <f>(EU33)</f>
        <v>16.7</v>
      </c>
      <c r="AF33">
        <f>(EV33)</f>
        <v>1311.93</v>
      </c>
      <c r="AG33">
        <f>(AP33)</f>
        <v>0</v>
      </c>
      <c r="AH33">
        <f>(EW33)</f>
        <v>113</v>
      </c>
      <c r="AI33">
        <f>(EX33)</f>
        <v>0</v>
      </c>
      <c r="AJ33">
        <f>(AS33)</f>
        <v>0</v>
      </c>
      <c r="AK33">
        <v>2338.79</v>
      </c>
      <c r="AL33">
        <v>972.06</v>
      </c>
      <c r="AM33">
        <v>54.8</v>
      </c>
      <c r="AN33">
        <v>16.7</v>
      </c>
      <c r="AO33">
        <v>1311.93</v>
      </c>
      <c r="AP33">
        <v>0</v>
      </c>
      <c r="AQ33">
        <v>113</v>
      </c>
      <c r="AR33">
        <v>0</v>
      </c>
      <c r="AS33">
        <v>0</v>
      </c>
      <c r="AT33">
        <v>89</v>
      </c>
      <c r="AU33">
        <v>44</v>
      </c>
      <c r="AV33">
        <v>1.087</v>
      </c>
      <c r="AW33">
        <v>1.001</v>
      </c>
      <c r="AX33">
        <v>1</v>
      </c>
      <c r="AY33">
        <v>1</v>
      </c>
      <c r="AZ33">
        <v>14.18</v>
      </c>
      <c r="BA33">
        <v>14.18</v>
      </c>
      <c r="BB33">
        <v>6.98</v>
      </c>
      <c r="BC33">
        <v>6.12</v>
      </c>
      <c r="BH33">
        <v>0</v>
      </c>
      <c r="BI33">
        <v>1</v>
      </c>
      <c r="BJ33" t="s">
        <v>62</v>
      </c>
      <c r="BM33">
        <v>442</v>
      </c>
      <c r="BN33">
        <v>0</v>
      </c>
      <c r="BO33" t="s">
        <v>59</v>
      </c>
      <c r="BP33">
        <v>1</v>
      </c>
      <c r="BQ33">
        <v>60</v>
      </c>
      <c r="BR33">
        <v>0</v>
      </c>
      <c r="BS33">
        <v>14.18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89</v>
      </c>
      <c r="CA33">
        <v>44</v>
      </c>
      <c r="CF33">
        <v>0</v>
      </c>
      <c r="CG33">
        <v>0</v>
      </c>
      <c r="CM33">
        <v>0</v>
      </c>
      <c r="CO33">
        <v>0</v>
      </c>
      <c r="CP33">
        <f t="shared" si="14"/>
        <v>55578.07000000001</v>
      </c>
      <c r="CQ33">
        <f t="shared" si="15"/>
        <v>5954.956207199999</v>
      </c>
      <c r="CR33">
        <f t="shared" si="16"/>
        <v>415.78184799999997</v>
      </c>
      <c r="CS33">
        <f t="shared" si="17"/>
        <v>257.408122</v>
      </c>
      <c r="CT33">
        <f t="shared" si="18"/>
        <v>20221.6429638</v>
      </c>
      <c r="CU33">
        <f t="shared" si="19"/>
        <v>0</v>
      </c>
      <c r="CV33">
        <f t="shared" si="20"/>
        <v>122.831</v>
      </c>
      <c r="CW33">
        <f t="shared" si="21"/>
        <v>0</v>
      </c>
      <c r="CX33">
        <f t="shared" si="22"/>
        <v>0</v>
      </c>
      <c r="CY33">
        <f t="shared" si="23"/>
        <v>37614.2747</v>
      </c>
      <c r="CZ33">
        <f t="shared" si="24"/>
        <v>18595.821200000002</v>
      </c>
      <c r="DN33">
        <v>104</v>
      </c>
      <c r="DO33">
        <v>79</v>
      </c>
      <c r="DP33">
        <v>1.087</v>
      </c>
      <c r="DQ33">
        <v>1.001</v>
      </c>
      <c r="DR33">
        <v>1</v>
      </c>
      <c r="DS33">
        <v>1</v>
      </c>
      <c r="DT33">
        <v>1</v>
      </c>
      <c r="DU33">
        <v>1013</v>
      </c>
      <c r="DV33" t="s">
        <v>61</v>
      </c>
      <c r="DW33" t="s">
        <v>61</v>
      </c>
      <c r="DX33">
        <v>1</v>
      </c>
      <c r="EE33">
        <v>22377428</v>
      </c>
      <c r="EF33">
        <v>60</v>
      </c>
      <c r="EG33" t="s">
        <v>31</v>
      </c>
      <c r="EH33">
        <v>0</v>
      </c>
      <c r="EJ33">
        <v>1</v>
      </c>
      <c r="EK33">
        <v>442</v>
      </c>
      <c r="EL33" t="s">
        <v>39</v>
      </c>
      <c r="EM33" t="s">
        <v>40</v>
      </c>
      <c r="EQ33">
        <v>64</v>
      </c>
      <c r="ER33">
        <v>2338.79</v>
      </c>
      <c r="ES33">
        <v>972.06</v>
      </c>
      <c r="ET33">
        <v>54.8</v>
      </c>
      <c r="EU33">
        <v>16.7</v>
      </c>
      <c r="EV33">
        <v>1311.93</v>
      </c>
      <c r="EW33">
        <v>113</v>
      </c>
      <c r="EX33">
        <v>0</v>
      </c>
      <c r="EY33">
        <v>0</v>
      </c>
      <c r="EZ33">
        <v>0</v>
      </c>
      <c r="FQ33">
        <v>0</v>
      </c>
      <c r="FR33">
        <f t="shared" si="25"/>
        <v>0</v>
      </c>
      <c r="FS33">
        <v>0</v>
      </c>
      <c r="FX33">
        <v>89</v>
      </c>
      <c r="FY33">
        <v>44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1</v>
      </c>
      <c r="GL33">
        <v>0</v>
      </c>
    </row>
    <row r="34" spans="1:194" ht="12.75">
      <c r="A34">
        <v>17</v>
      </c>
      <c r="B34">
        <v>1</v>
      </c>
      <c r="C34">
        <f>ROW(SmtRes!A32)</f>
        <v>32</v>
      </c>
      <c r="D34">
        <f>ROW(EtalonRes!A32)</f>
        <v>32</v>
      </c>
      <c r="E34" t="s">
        <v>63</v>
      </c>
      <c r="F34" t="s">
        <v>64</v>
      </c>
      <c r="G34" t="s">
        <v>65</v>
      </c>
      <c r="H34" t="s">
        <v>29</v>
      </c>
      <c r="I34">
        <v>6.962</v>
      </c>
      <c r="J34">
        <v>0</v>
      </c>
      <c r="O34">
        <f t="shared" si="2"/>
        <v>126232.95</v>
      </c>
      <c r="P34">
        <f t="shared" si="3"/>
        <v>22604.83</v>
      </c>
      <c r="Q34">
        <f t="shared" si="4"/>
        <v>18601.12</v>
      </c>
      <c r="R34">
        <f t="shared" si="5"/>
        <v>9533.14</v>
      </c>
      <c r="S34">
        <f t="shared" si="6"/>
        <v>85027</v>
      </c>
      <c r="T34">
        <f t="shared" si="7"/>
        <v>0</v>
      </c>
      <c r="U34">
        <f t="shared" si="8"/>
        <v>461.2509492999999</v>
      </c>
      <c r="V34">
        <f t="shared" si="9"/>
        <v>0</v>
      </c>
      <c r="W34">
        <f t="shared" si="10"/>
        <v>0</v>
      </c>
      <c r="X34">
        <f t="shared" si="11"/>
        <v>75674.03</v>
      </c>
      <c r="Y34">
        <f t="shared" si="12"/>
        <v>37411.88</v>
      </c>
      <c r="AA34">
        <v>0</v>
      </c>
      <c r="AB34">
        <f t="shared" si="13"/>
        <v>1831.4524999999999</v>
      </c>
      <c r="AC34">
        <f>(ES34)</f>
        <v>705.14</v>
      </c>
      <c r="AD34">
        <f>((ET34*1.25))</f>
        <v>333.96250000000003</v>
      </c>
      <c r="AE34">
        <f>((EU34*1.25))</f>
        <v>88.83749999999999</v>
      </c>
      <c r="AF34">
        <f>((EV34*1.15))</f>
        <v>792.3499999999999</v>
      </c>
      <c r="AG34">
        <f>(AP34)</f>
        <v>0</v>
      </c>
      <c r="AH34">
        <f>((EW34*1.15))</f>
        <v>60.949999999999996</v>
      </c>
      <c r="AI34">
        <f>((EX34*1.25))</f>
        <v>0</v>
      </c>
      <c r="AJ34">
        <f>(AS34)</f>
        <v>0</v>
      </c>
      <c r="AK34">
        <v>1661.31</v>
      </c>
      <c r="AL34">
        <v>705.14</v>
      </c>
      <c r="AM34">
        <v>267.17</v>
      </c>
      <c r="AN34">
        <v>71.07</v>
      </c>
      <c r="AO34">
        <v>689</v>
      </c>
      <c r="AP34">
        <v>0</v>
      </c>
      <c r="AQ34">
        <v>53</v>
      </c>
      <c r="AR34">
        <v>0</v>
      </c>
      <c r="AS34">
        <v>0</v>
      </c>
      <c r="AT34">
        <v>89</v>
      </c>
      <c r="AU34">
        <v>44</v>
      </c>
      <c r="AV34">
        <v>1.087</v>
      </c>
      <c r="AW34">
        <v>1.001</v>
      </c>
      <c r="AX34">
        <v>1</v>
      </c>
      <c r="AY34">
        <v>1</v>
      </c>
      <c r="AZ34">
        <v>14.18</v>
      </c>
      <c r="BA34">
        <v>14.18</v>
      </c>
      <c r="BB34">
        <v>7.36</v>
      </c>
      <c r="BC34">
        <v>4.6</v>
      </c>
      <c r="BH34">
        <v>0</v>
      </c>
      <c r="BI34">
        <v>1</v>
      </c>
      <c r="BJ34" t="s">
        <v>66</v>
      </c>
      <c r="BM34">
        <v>96</v>
      </c>
      <c r="BN34">
        <v>0</v>
      </c>
      <c r="BO34" t="s">
        <v>64</v>
      </c>
      <c r="BP34">
        <v>1</v>
      </c>
      <c r="BQ34">
        <v>30</v>
      </c>
      <c r="BR34">
        <v>0</v>
      </c>
      <c r="BS34">
        <v>14.18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89</v>
      </c>
      <c r="CA34">
        <v>44</v>
      </c>
      <c r="CF34">
        <v>0</v>
      </c>
      <c r="CG34">
        <v>0</v>
      </c>
      <c r="CM34">
        <v>0</v>
      </c>
      <c r="CO34">
        <v>0</v>
      </c>
      <c r="CP34">
        <f t="shared" si="14"/>
        <v>126232.95</v>
      </c>
      <c r="CQ34">
        <f t="shared" si="15"/>
        <v>3246.8876439999995</v>
      </c>
      <c r="CR34">
        <f t="shared" si="16"/>
        <v>2671.806868</v>
      </c>
      <c r="CS34">
        <f t="shared" si="17"/>
        <v>1369.3110202499997</v>
      </c>
      <c r="CT34">
        <f t="shared" si="18"/>
        <v>12213.013500999998</v>
      </c>
      <c r="CU34">
        <f t="shared" si="19"/>
        <v>0</v>
      </c>
      <c r="CV34">
        <f t="shared" si="20"/>
        <v>66.25264999999999</v>
      </c>
      <c r="CW34">
        <f t="shared" si="21"/>
        <v>0</v>
      </c>
      <c r="CX34">
        <f t="shared" si="22"/>
        <v>0</v>
      </c>
      <c r="CY34">
        <f t="shared" si="23"/>
        <v>75674.03</v>
      </c>
      <c r="CZ34">
        <f t="shared" si="24"/>
        <v>37411.88</v>
      </c>
      <c r="DE34" t="s">
        <v>67</v>
      </c>
      <c r="DF34" t="s">
        <v>67</v>
      </c>
      <c r="DG34" t="s">
        <v>68</v>
      </c>
      <c r="DI34" t="s">
        <v>68</v>
      </c>
      <c r="DJ34" t="s">
        <v>67</v>
      </c>
      <c r="DN34">
        <v>104</v>
      </c>
      <c r="DO34">
        <v>79</v>
      </c>
      <c r="DP34">
        <v>1.087</v>
      </c>
      <c r="DQ34">
        <v>1.001</v>
      </c>
      <c r="DR34">
        <v>1</v>
      </c>
      <c r="DS34">
        <v>1</v>
      </c>
      <c r="DT34">
        <v>1</v>
      </c>
      <c r="DU34">
        <v>1005</v>
      </c>
      <c r="DV34" t="s">
        <v>29</v>
      </c>
      <c r="DW34" t="s">
        <v>29</v>
      </c>
      <c r="DX34">
        <v>100</v>
      </c>
      <c r="EE34">
        <v>22377082</v>
      </c>
      <c r="EF34">
        <v>30</v>
      </c>
      <c r="EG34" t="s">
        <v>23</v>
      </c>
      <c r="EH34">
        <v>0</v>
      </c>
      <c r="EJ34">
        <v>1</v>
      </c>
      <c r="EK34">
        <v>96</v>
      </c>
      <c r="EL34" t="s">
        <v>69</v>
      </c>
      <c r="EM34" t="s">
        <v>70</v>
      </c>
      <c r="EQ34">
        <v>64</v>
      </c>
      <c r="ER34">
        <v>1661.31</v>
      </c>
      <c r="ES34">
        <v>705.14</v>
      </c>
      <c r="ET34">
        <v>267.17</v>
      </c>
      <c r="EU34">
        <v>71.07</v>
      </c>
      <c r="EV34">
        <v>689</v>
      </c>
      <c r="EW34">
        <v>53</v>
      </c>
      <c r="EX34">
        <v>0</v>
      </c>
      <c r="EY34">
        <v>0</v>
      </c>
      <c r="EZ34">
        <v>0</v>
      </c>
      <c r="FQ34">
        <v>0</v>
      </c>
      <c r="FR34">
        <f t="shared" si="25"/>
        <v>0</v>
      </c>
      <c r="FS34">
        <v>0</v>
      </c>
      <c r="FX34">
        <v>89</v>
      </c>
      <c r="FY34">
        <v>44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1</v>
      </c>
      <c r="GL34">
        <v>0</v>
      </c>
    </row>
    <row r="35" spans="1:194" ht="12.75">
      <c r="A35">
        <v>18</v>
      </c>
      <c r="B35">
        <v>1</v>
      </c>
      <c r="C35">
        <v>29</v>
      </c>
      <c r="E35" t="s">
        <v>71</v>
      </c>
      <c r="F35" t="s">
        <v>72</v>
      </c>
      <c r="G35" t="s">
        <v>73</v>
      </c>
      <c r="H35" t="s">
        <v>74</v>
      </c>
      <c r="I35">
        <f>I34*J35</f>
        <v>939.87</v>
      </c>
      <c r="J35">
        <v>135</v>
      </c>
      <c r="O35">
        <f t="shared" si="2"/>
        <v>141157.42</v>
      </c>
      <c r="P35">
        <f t="shared" si="3"/>
        <v>141157.42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  <c r="U35">
        <f t="shared" si="8"/>
        <v>0</v>
      </c>
      <c r="V35">
        <f t="shared" si="9"/>
        <v>0</v>
      </c>
      <c r="W35">
        <f t="shared" si="10"/>
        <v>0</v>
      </c>
      <c r="X35">
        <f t="shared" si="11"/>
        <v>0</v>
      </c>
      <c r="Y35">
        <f t="shared" si="12"/>
        <v>0</v>
      </c>
      <c r="AA35">
        <v>0</v>
      </c>
      <c r="AB35">
        <f t="shared" si="13"/>
        <v>25.09</v>
      </c>
      <c r="AC35">
        <f aca="true" t="shared" si="31" ref="AC35:AJ36">AL35</f>
        <v>25.09</v>
      </c>
      <c r="AD35">
        <f t="shared" si="31"/>
        <v>0</v>
      </c>
      <c r="AE35">
        <f t="shared" si="31"/>
        <v>0</v>
      </c>
      <c r="AF35">
        <f t="shared" si="31"/>
        <v>0</v>
      </c>
      <c r="AG35">
        <f t="shared" si="31"/>
        <v>0</v>
      </c>
      <c r="AH35">
        <f t="shared" si="31"/>
        <v>0</v>
      </c>
      <c r="AI35">
        <f t="shared" si="31"/>
        <v>0</v>
      </c>
      <c r="AJ35">
        <f t="shared" si="31"/>
        <v>0</v>
      </c>
      <c r="AK35">
        <v>25.09</v>
      </c>
      <c r="AL35">
        <v>25.09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1.001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5.98</v>
      </c>
      <c r="BH35">
        <v>3</v>
      </c>
      <c r="BI35">
        <v>1</v>
      </c>
      <c r="BJ35" t="s">
        <v>75</v>
      </c>
      <c r="BM35">
        <v>96</v>
      </c>
      <c r="BN35">
        <v>0</v>
      </c>
      <c r="BO35" t="s">
        <v>72</v>
      </c>
      <c r="BP35">
        <v>1</v>
      </c>
      <c r="BQ35">
        <v>30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14"/>
        <v>141157.42</v>
      </c>
      <c r="CQ35">
        <f t="shared" si="15"/>
        <v>150.1882382</v>
      </c>
      <c r="CR35">
        <f t="shared" si="16"/>
        <v>0</v>
      </c>
      <c r="CS35">
        <f t="shared" si="17"/>
        <v>0</v>
      </c>
      <c r="CT35">
        <f t="shared" si="18"/>
        <v>0</v>
      </c>
      <c r="CU35">
        <f t="shared" si="19"/>
        <v>0</v>
      </c>
      <c r="CV35">
        <f t="shared" si="20"/>
        <v>0</v>
      </c>
      <c r="CW35">
        <f t="shared" si="21"/>
        <v>0</v>
      </c>
      <c r="CX35">
        <f t="shared" si="22"/>
        <v>0</v>
      </c>
      <c r="CY35">
        <f t="shared" si="23"/>
        <v>0</v>
      </c>
      <c r="CZ35">
        <f t="shared" si="24"/>
        <v>0</v>
      </c>
      <c r="DN35">
        <v>104</v>
      </c>
      <c r="DO35">
        <v>79</v>
      </c>
      <c r="DP35">
        <v>1.087</v>
      </c>
      <c r="DQ35">
        <v>1.001</v>
      </c>
      <c r="DR35">
        <v>1</v>
      </c>
      <c r="DS35">
        <v>1</v>
      </c>
      <c r="DT35">
        <v>1</v>
      </c>
      <c r="DU35">
        <v>1005</v>
      </c>
      <c r="DV35" t="s">
        <v>74</v>
      </c>
      <c r="DW35" t="s">
        <v>74</v>
      </c>
      <c r="DX35">
        <v>1</v>
      </c>
      <c r="EE35">
        <v>22377082</v>
      </c>
      <c r="EF35">
        <v>30</v>
      </c>
      <c r="EG35" t="s">
        <v>23</v>
      </c>
      <c r="EH35">
        <v>0</v>
      </c>
      <c r="EJ35">
        <v>1</v>
      </c>
      <c r="EK35">
        <v>96</v>
      </c>
      <c r="EL35" t="s">
        <v>69</v>
      </c>
      <c r="EM35" t="s">
        <v>70</v>
      </c>
      <c r="EQ35">
        <v>0</v>
      </c>
      <c r="ER35">
        <v>25.09</v>
      </c>
      <c r="ES35">
        <v>25.09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0</v>
      </c>
      <c r="FQ35">
        <v>0</v>
      </c>
      <c r="FR35">
        <f t="shared" si="25"/>
        <v>0</v>
      </c>
      <c r="FS35">
        <v>0</v>
      </c>
      <c r="FX35">
        <v>0</v>
      </c>
      <c r="FY35">
        <v>0</v>
      </c>
      <c r="GA35">
        <v>25.09</v>
      </c>
      <c r="GB35">
        <v>25.09</v>
      </c>
      <c r="GC35">
        <v>0</v>
      </c>
      <c r="GD35">
        <v>0</v>
      </c>
      <c r="GE35">
        <v>0</v>
      </c>
      <c r="GF35">
        <v>25.09</v>
      </c>
      <c r="GG35">
        <v>25.09</v>
      </c>
      <c r="GH35">
        <v>0</v>
      </c>
      <c r="GI35">
        <v>0</v>
      </c>
      <c r="GJ35">
        <v>0</v>
      </c>
      <c r="GK35">
        <v>0</v>
      </c>
      <c r="GL35">
        <v>0</v>
      </c>
    </row>
    <row r="36" spans="1:194" ht="12.75">
      <c r="A36">
        <v>18</v>
      </c>
      <c r="B36">
        <v>1</v>
      </c>
      <c r="C36">
        <v>30</v>
      </c>
      <c r="E36" t="s">
        <v>76</v>
      </c>
      <c r="F36" t="s">
        <v>77</v>
      </c>
      <c r="G36" t="s">
        <v>78</v>
      </c>
      <c r="H36" t="s">
        <v>74</v>
      </c>
      <c r="I36">
        <f>I34*J36</f>
        <v>921.073</v>
      </c>
      <c r="J36">
        <v>132.30005745475438</v>
      </c>
      <c r="O36">
        <f t="shared" si="2"/>
        <v>126716.65</v>
      </c>
      <c r="P36">
        <f t="shared" si="3"/>
        <v>126716.65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V36">
        <f t="shared" si="9"/>
        <v>0</v>
      </c>
      <c r="W36">
        <f t="shared" si="10"/>
        <v>0</v>
      </c>
      <c r="X36">
        <f t="shared" si="11"/>
        <v>0</v>
      </c>
      <c r="Y36">
        <f t="shared" si="12"/>
        <v>0</v>
      </c>
      <c r="AA36">
        <v>0</v>
      </c>
      <c r="AB36">
        <f t="shared" si="13"/>
        <v>23.06</v>
      </c>
      <c r="AC36">
        <f t="shared" si="31"/>
        <v>23.06</v>
      </c>
      <c r="AD36">
        <f t="shared" si="31"/>
        <v>0</v>
      </c>
      <c r="AE36">
        <f t="shared" si="31"/>
        <v>0</v>
      </c>
      <c r="AF36">
        <f t="shared" si="31"/>
        <v>0</v>
      </c>
      <c r="AG36">
        <f t="shared" si="31"/>
        <v>0</v>
      </c>
      <c r="AH36">
        <f t="shared" si="31"/>
        <v>0</v>
      </c>
      <c r="AI36">
        <f t="shared" si="31"/>
        <v>0</v>
      </c>
      <c r="AJ36">
        <f t="shared" si="31"/>
        <v>0</v>
      </c>
      <c r="AK36">
        <v>23.06</v>
      </c>
      <c r="AL36">
        <v>23.06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1.001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5.96</v>
      </c>
      <c r="BH36">
        <v>3</v>
      </c>
      <c r="BI36">
        <v>1</v>
      </c>
      <c r="BJ36" t="s">
        <v>79</v>
      </c>
      <c r="BM36">
        <v>96</v>
      </c>
      <c r="BN36">
        <v>0</v>
      </c>
      <c r="BO36" t="s">
        <v>77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14"/>
        <v>126716.65</v>
      </c>
      <c r="CQ36">
        <f t="shared" si="15"/>
        <v>137.57503759999997</v>
      </c>
      <c r="CR36">
        <f t="shared" si="16"/>
        <v>0</v>
      </c>
      <c r="CS36">
        <f t="shared" si="17"/>
        <v>0</v>
      </c>
      <c r="CT36">
        <f t="shared" si="18"/>
        <v>0</v>
      </c>
      <c r="CU36">
        <f t="shared" si="19"/>
        <v>0</v>
      </c>
      <c r="CV36">
        <f t="shared" si="20"/>
        <v>0</v>
      </c>
      <c r="CW36">
        <f t="shared" si="21"/>
        <v>0</v>
      </c>
      <c r="CX36">
        <f t="shared" si="22"/>
        <v>0</v>
      </c>
      <c r="CY36">
        <f t="shared" si="23"/>
        <v>0</v>
      </c>
      <c r="CZ36">
        <f t="shared" si="24"/>
        <v>0</v>
      </c>
      <c r="DN36">
        <v>104</v>
      </c>
      <c r="DO36">
        <v>79</v>
      </c>
      <c r="DP36">
        <v>1.087</v>
      </c>
      <c r="DQ36">
        <v>1.001</v>
      </c>
      <c r="DR36">
        <v>1</v>
      </c>
      <c r="DS36">
        <v>1</v>
      </c>
      <c r="DT36">
        <v>1</v>
      </c>
      <c r="DU36">
        <v>1005</v>
      </c>
      <c r="DV36" t="s">
        <v>74</v>
      </c>
      <c r="DW36" t="s">
        <v>74</v>
      </c>
      <c r="DX36">
        <v>1</v>
      </c>
      <c r="EE36">
        <v>22377082</v>
      </c>
      <c r="EF36">
        <v>30</v>
      </c>
      <c r="EG36" t="s">
        <v>23</v>
      </c>
      <c r="EH36">
        <v>0</v>
      </c>
      <c r="EJ36">
        <v>1</v>
      </c>
      <c r="EK36">
        <v>96</v>
      </c>
      <c r="EL36" t="s">
        <v>69</v>
      </c>
      <c r="EM36" t="s">
        <v>70</v>
      </c>
      <c r="EQ36">
        <v>0</v>
      </c>
      <c r="ER36">
        <v>23.06</v>
      </c>
      <c r="ES36">
        <v>23.06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25"/>
        <v>0</v>
      </c>
      <c r="FS36">
        <v>0</v>
      </c>
      <c r="FX36">
        <v>0</v>
      </c>
      <c r="FY36">
        <v>0</v>
      </c>
      <c r="GA36">
        <v>23.06</v>
      </c>
      <c r="GB36">
        <v>23.06</v>
      </c>
      <c r="GC36">
        <v>0</v>
      </c>
      <c r="GD36">
        <v>0</v>
      </c>
      <c r="GE36">
        <v>0</v>
      </c>
      <c r="GF36">
        <v>23.06</v>
      </c>
      <c r="GG36">
        <v>23.06</v>
      </c>
      <c r="GH36">
        <v>0</v>
      </c>
      <c r="GI36">
        <v>0</v>
      </c>
      <c r="GJ36">
        <v>0</v>
      </c>
      <c r="GK36">
        <v>0</v>
      </c>
      <c r="GL36">
        <v>0</v>
      </c>
    </row>
    <row r="37" spans="1:194" ht="12.75">
      <c r="A37">
        <v>17</v>
      </c>
      <c r="B37">
        <v>1</v>
      </c>
      <c r="C37">
        <f>ROW(SmtRes!A39)</f>
        <v>39</v>
      </c>
      <c r="D37">
        <f>ROW(EtalonRes!A39)</f>
        <v>39</v>
      </c>
      <c r="E37" t="s">
        <v>80</v>
      </c>
      <c r="F37" t="s">
        <v>59</v>
      </c>
      <c r="G37" t="s">
        <v>60</v>
      </c>
      <c r="H37" t="s">
        <v>61</v>
      </c>
      <c r="I37">
        <v>0.14</v>
      </c>
      <c r="J37">
        <v>0</v>
      </c>
      <c r="O37">
        <f t="shared" si="2"/>
        <v>3722.93</v>
      </c>
      <c r="P37">
        <f t="shared" si="3"/>
        <v>833.69</v>
      </c>
      <c r="Q37">
        <f t="shared" si="4"/>
        <v>58.21</v>
      </c>
      <c r="R37">
        <f t="shared" si="5"/>
        <v>36.04</v>
      </c>
      <c r="S37">
        <f t="shared" si="6"/>
        <v>2831.03</v>
      </c>
      <c r="T37">
        <f t="shared" si="7"/>
        <v>0</v>
      </c>
      <c r="U37">
        <f t="shared" si="8"/>
        <v>17.196340000000003</v>
      </c>
      <c r="V37">
        <f t="shared" si="9"/>
        <v>0</v>
      </c>
      <c r="W37">
        <f t="shared" si="10"/>
        <v>0</v>
      </c>
      <c r="X37">
        <f t="shared" si="11"/>
        <v>2519.62</v>
      </c>
      <c r="Y37">
        <f t="shared" si="12"/>
        <v>1245.65</v>
      </c>
      <c r="AA37">
        <v>0</v>
      </c>
      <c r="AB37">
        <f t="shared" si="13"/>
        <v>2338.79</v>
      </c>
      <c r="AC37">
        <f>(ES37)</f>
        <v>972.06</v>
      </c>
      <c r="AD37">
        <f>(ET37)</f>
        <v>54.8</v>
      </c>
      <c r="AE37">
        <f>(EU37)</f>
        <v>16.7</v>
      </c>
      <c r="AF37">
        <f>(EV37)</f>
        <v>1311.93</v>
      </c>
      <c r="AG37">
        <f>(AP37)</f>
        <v>0</v>
      </c>
      <c r="AH37">
        <f>(EW37)</f>
        <v>113</v>
      </c>
      <c r="AI37">
        <f>(EX37)</f>
        <v>0</v>
      </c>
      <c r="AJ37">
        <f>(AS37)</f>
        <v>0</v>
      </c>
      <c r="AK37">
        <v>2338.79</v>
      </c>
      <c r="AL37">
        <v>972.06</v>
      </c>
      <c r="AM37">
        <v>54.8</v>
      </c>
      <c r="AN37">
        <v>16.7</v>
      </c>
      <c r="AO37">
        <v>1311.93</v>
      </c>
      <c r="AP37">
        <v>0</v>
      </c>
      <c r="AQ37">
        <v>113</v>
      </c>
      <c r="AR37">
        <v>0</v>
      </c>
      <c r="AS37">
        <v>0</v>
      </c>
      <c r="AT37">
        <v>89</v>
      </c>
      <c r="AU37">
        <v>44</v>
      </c>
      <c r="AV37">
        <v>1.087</v>
      </c>
      <c r="AW37">
        <v>1.001</v>
      </c>
      <c r="AX37">
        <v>1</v>
      </c>
      <c r="AY37">
        <v>1</v>
      </c>
      <c r="AZ37">
        <v>14.18</v>
      </c>
      <c r="BA37">
        <v>14.18</v>
      </c>
      <c r="BB37">
        <v>6.98</v>
      </c>
      <c r="BC37">
        <v>6.12</v>
      </c>
      <c r="BH37">
        <v>0</v>
      </c>
      <c r="BI37">
        <v>1</v>
      </c>
      <c r="BJ37" t="s">
        <v>62</v>
      </c>
      <c r="BM37">
        <v>442</v>
      </c>
      <c r="BN37">
        <v>0</v>
      </c>
      <c r="BO37" t="s">
        <v>59</v>
      </c>
      <c r="BP37">
        <v>1</v>
      </c>
      <c r="BQ37">
        <v>60</v>
      </c>
      <c r="BR37">
        <v>0</v>
      </c>
      <c r="BS37">
        <v>14.18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89</v>
      </c>
      <c r="CA37">
        <v>44</v>
      </c>
      <c r="CF37">
        <v>0</v>
      </c>
      <c r="CG37">
        <v>0</v>
      </c>
      <c r="CM37">
        <v>0</v>
      </c>
      <c r="CO37">
        <v>0</v>
      </c>
      <c r="CP37">
        <f t="shared" si="14"/>
        <v>3722.9300000000003</v>
      </c>
      <c r="CQ37">
        <f t="shared" si="15"/>
        <v>5954.956207199999</v>
      </c>
      <c r="CR37">
        <f t="shared" si="16"/>
        <v>415.78184799999997</v>
      </c>
      <c r="CS37">
        <f t="shared" si="17"/>
        <v>257.408122</v>
      </c>
      <c r="CT37">
        <f t="shared" si="18"/>
        <v>20221.6429638</v>
      </c>
      <c r="CU37">
        <f t="shared" si="19"/>
        <v>0</v>
      </c>
      <c r="CV37">
        <f t="shared" si="20"/>
        <v>122.831</v>
      </c>
      <c r="CW37">
        <f t="shared" si="21"/>
        <v>0</v>
      </c>
      <c r="CX37">
        <f t="shared" si="22"/>
        <v>0</v>
      </c>
      <c r="CY37">
        <f t="shared" si="23"/>
        <v>2519.6167</v>
      </c>
      <c r="CZ37">
        <f t="shared" si="24"/>
        <v>1245.6532000000002</v>
      </c>
      <c r="DN37">
        <v>104</v>
      </c>
      <c r="DO37">
        <v>79</v>
      </c>
      <c r="DP37">
        <v>1.087</v>
      </c>
      <c r="DQ37">
        <v>1.001</v>
      </c>
      <c r="DR37">
        <v>1</v>
      </c>
      <c r="DS37">
        <v>1</v>
      </c>
      <c r="DT37">
        <v>1</v>
      </c>
      <c r="DU37">
        <v>1013</v>
      </c>
      <c r="DV37" t="s">
        <v>61</v>
      </c>
      <c r="DW37" t="s">
        <v>61</v>
      </c>
      <c r="DX37">
        <v>1</v>
      </c>
      <c r="EE37">
        <v>22377428</v>
      </c>
      <c r="EF37">
        <v>60</v>
      </c>
      <c r="EG37" t="s">
        <v>31</v>
      </c>
      <c r="EH37">
        <v>0</v>
      </c>
      <c r="EJ37">
        <v>1</v>
      </c>
      <c r="EK37">
        <v>442</v>
      </c>
      <c r="EL37" t="s">
        <v>39</v>
      </c>
      <c r="EM37" t="s">
        <v>40</v>
      </c>
      <c r="EQ37">
        <v>64</v>
      </c>
      <c r="ER37">
        <v>2338.79</v>
      </c>
      <c r="ES37">
        <v>972.06</v>
      </c>
      <c r="ET37">
        <v>54.8</v>
      </c>
      <c r="EU37">
        <v>16.7</v>
      </c>
      <c r="EV37">
        <v>1311.93</v>
      </c>
      <c r="EW37">
        <v>113</v>
      </c>
      <c r="EX37">
        <v>0</v>
      </c>
      <c r="EY37">
        <v>0</v>
      </c>
      <c r="EZ37">
        <v>0</v>
      </c>
      <c r="FQ37">
        <v>0</v>
      </c>
      <c r="FR37">
        <f t="shared" si="25"/>
        <v>0</v>
      </c>
      <c r="FS37">
        <v>0</v>
      </c>
      <c r="FX37">
        <v>89</v>
      </c>
      <c r="FY37">
        <v>44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1</v>
      </c>
      <c r="GL37">
        <v>0</v>
      </c>
    </row>
    <row r="38" spans="1:194" ht="12.75">
      <c r="A38">
        <v>17</v>
      </c>
      <c r="B38">
        <v>1</v>
      </c>
      <c r="C38">
        <f>ROW(SmtRes!A42)</f>
        <v>42</v>
      </c>
      <c r="D38">
        <f>ROW(EtalonRes!A42)</f>
        <v>42</v>
      </c>
      <c r="E38" t="s">
        <v>81</v>
      </c>
      <c r="F38" t="s">
        <v>17</v>
      </c>
      <c r="G38" t="s">
        <v>18</v>
      </c>
      <c r="H38" t="s">
        <v>19</v>
      </c>
      <c r="I38">
        <v>0.44</v>
      </c>
      <c r="J38">
        <v>0</v>
      </c>
      <c r="O38">
        <f t="shared" si="2"/>
        <v>13698.15</v>
      </c>
      <c r="P38">
        <f t="shared" si="3"/>
        <v>4034.1</v>
      </c>
      <c r="Q38">
        <f t="shared" si="4"/>
        <v>0</v>
      </c>
      <c r="R38">
        <f t="shared" si="5"/>
        <v>0</v>
      </c>
      <c r="S38">
        <f t="shared" si="6"/>
        <v>9664.05</v>
      </c>
      <c r="T38">
        <f t="shared" si="7"/>
        <v>0</v>
      </c>
      <c r="U38">
        <f t="shared" si="8"/>
        <v>56.652266</v>
      </c>
      <c r="V38">
        <f t="shared" si="9"/>
        <v>0</v>
      </c>
      <c r="W38">
        <f t="shared" si="10"/>
        <v>0</v>
      </c>
      <c r="X38">
        <f t="shared" si="11"/>
        <v>11306.94</v>
      </c>
      <c r="Y38">
        <f t="shared" si="12"/>
        <v>4252.18</v>
      </c>
      <c r="AA38">
        <v>0</v>
      </c>
      <c r="AB38">
        <f t="shared" si="13"/>
        <v>2913.7135</v>
      </c>
      <c r="AC38">
        <f>(ES38)</f>
        <v>1488.76</v>
      </c>
      <c r="AD38">
        <f>((ET38*1.25))</f>
        <v>0</v>
      </c>
      <c r="AE38">
        <f>((EU38*1.25))</f>
        <v>0</v>
      </c>
      <c r="AF38">
        <f>((EV38*1.15))</f>
        <v>1424.9534999999998</v>
      </c>
      <c r="AG38">
        <f>(AP38)</f>
        <v>0</v>
      </c>
      <c r="AH38">
        <f>((EW38*1.15))</f>
        <v>118.44999999999999</v>
      </c>
      <c r="AI38">
        <f>((EX38*1.25))</f>
        <v>0</v>
      </c>
      <c r="AJ38">
        <f>(AS38)</f>
        <v>0</v>
      </c>
      <c r="AK38">
        <v>2727.85</v>
      </c>
      <c r="AL38">
        <v>1488.76</v>
      </c>
      <c r="AM38">
        <v>0</v>
      </c>
      <c r="AN38">
        <v>0</v>
      </c>
      <c r="AO38">
        <v>1239.09</v>
      </c>
      <c r="AP38">
        <v>0</v>
      </c>
      <c r="AQ38">
        <v>103</v>
      </c>
      <c r="AR38">
        <v>0</v>
      </c>
      <c r="AS38">
        <v>0</v>
      </c>
      <c r="AT38">
        <v>117</v>
      </c>
      <c r="AU38">
        <v>44</v>
      </c>
      <c r="AV38">
        <v>1.087</v>
      </c>
      <c r="AW38">
        <v>1.003</v>
      </c>
      <c r="AX38">
        <v>1</v>
      </c>
      <c r="AY38">
        <v>1</v>
      </c>
      <c r="AZ38">
        <v>14.18</v>
      </c>
      <c r="BA38">
        <v>14.18</v>
      </c>
      <c r="BB38">
        <v>1</v>
      </c>
      <c r="BC38">
        <v>6.14</v>
      </c>
      <c r="BH38">
        <v>0</v>
      </c>
      <c r="BI38">
        <v>1</v>
      </c>
      <c r="BJ38" t="s">
        <v>20</v>
      </c>
      <c r="BM38">
        <v>58</v>
      </c>
      <c r="BN38">
        <v>0</v>
      </c>
      <c r="BO38" t="s">
        <v>17</v>
      </c>
      <c r="BP38">
        <v>1</v>
      </c>
      <c r="BQ38">
        <v>30</v>
      </c>
      <c r="BR38">
        <v>0</v>
      </c>
      <c r="BS38">
        <v>14.18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117</v>
      </c>
      <c r="CA38">
        <v>44</v>
      </c>
      <c r="CF38">
        <v>0</v>
      </c>
      <c r="CG38">
        <v>0</v>
      </c>
      <c r="CM38">
        <v>0</v>
      </c>
      <c r="CO38">
        <v>0</v>
      </c>
      <c r="CP38">
        <f t="shared" si="14"/>
        <v>13698.15</v>
      </c>
      <c r="CQ38">
        <f t="shared" si="15"/>
        <v>9168.409359199999</v>
      </c>
      <c r="CR38">
        <f t="shared" si="16"/>
        <v>0</v>
      </c>
      <c r="CS38">
        <f t="shared" si="17"/>
        <v>0</v>
      </c>
      <c r="CT38">
        <f t="shared" si="18"/>
        <v>21963.748764809996</v>
      </c>
      <c r="CU38">
        <f t="shared" si="19"/>
        <v>0</v>
      </c>
      <c r="CV38">
        <f t="shared" si="20"/>
        <v>128.75515</v>
      </c>
      <c r="CW38">
        <f t="shared" si="21"/>
        <v>0</v>
      </c>
      <c r="CX38">
        <f t="shared" si="22"/>
        <v>0</v>
      </c>
      <c r="CY38">
        <f t="shared" si="23"/>
        <v>11306.938499999998</v>
      </c>
      <c r="CZ38">
        <f t="shared" si="24"/>
        <v>4252.182</v>
      </c>
      <c r="DE38" t="s">
        <v>67</v>
      </c>
      <c r="DF38" t="s">
        <v>67</v>
      </c>
      <c r="DG38" t="s">
        <v>68</v>
      </c>
      <c r="DI38" t="s">
        <v>68</v>
      </c>
      <c r="DJ38" t="s">
        <v>67</v>
      </c>
      <c r="DN38">
        <v>138</v>
      </c>
      <c r="DO38">
        <v>70</v>
      </c>
      <c r="DP38">
        <v>1.087</v>
      </c>
      <c r="DQ38">
        <v>1.003</v>
      </c>
      <c r="DR38">
        <v>1</v>
      </c>
      <c r="DS38">
        <v>1</v>
      </c>
      <c r="DT38">
        <v>1</v>
      </c>
      <c r="DU38">
        <v>1010</v>
      </c>
      <c r="DV38" t="s">
        <v>19</v>
      </c>
      <c r="DW38" t="s">
        <v>19</v>
      </c>
      <c r="DX38">
        <v>100</v>
      </c>
      <c r="EE38">
        <v>22377044</v>
      </c>
      <c r="EF38">
        <v>30</v>
      </c>
      <c r="EG38" t="s">
        <v>23</v>
      </c>
      <c r="EH38">
        <v>0</v>
      </c>
      <c r="EJ38">
        <v>1</v>
      </c>
      <c r="EK38">
        <v>58</v>
      </c>
      <c r="EL38" t="s">
        <v>24</v>
      </c>
      <c r="EM38" t="s">
        <v>25</v>
      </c>
      <c r="EQ38">
        <v>64</v>
      </c>
      <c r="ER38">
        <v>2727.85</v>
      </c>
      <c r="ES38">
        <v>1488.76</v>
      </c>
      <c r="ET38">
        <v>0</v>
      </c>
      <c r="EU38">
        <v>0</v>
      </c>
      <c r="EV38">
        <v>1239.09</v>
      </c>
      <c r="EW38">
        <v>103</v>
      </c>
      <c r="EX38">
        <v>0</v>
      </c>
      <c r="EY38">
        <v>0</v>
      </c>
      <c r="EZ38">
        <v>0</v>
      </c>
      <c r="FQ38">
        <v>0</v>
      </c>
      <c r="FR38">
        <f t="shared" si="25"/>
        <v>0</v>
      </c>
      <c r="FS38">
        <v>0</v>
      </c>
      <c r="FX38">
        <v>117</v>
      </c>
      <c r="FY38">
        <v>44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</row>
    <row r="39" spans="1:194" ht="12.75">
      <c r="A39">
        <v>18</v>
      </c>
      <c r="B39">
        <v>1</v>
      </c>
      <c r="C39">
        <v>42</v>
      </c>
      <c r="E39" t="s">
        <v>82</v>
      </c>
      <c r="F39" t="s">
        <v>83</v>
      </c>
      <c r="G39" t="s">
        <v>84</v>
      </c>
      <c r="H39" t="s">
        <v>85</v>
      </c>
      <c r="I39">
        <f>I38*J39</f>
        <v>3.934</v>
      </c>
      <c r="J39">
        <v>8.940909090909091</v>
      </c>
      <c r="O39">
        <f t="shared" si="2"/>
        <v>37344.46</v>
      </c>
      <c r="P39">
        <f t="shared" si="3"/>
        <v>37344.46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  <c r="AA39">
        <v>0</v>
      </c>
      <c r="AB39">
        <f t="shared" si="13"/>
        <v>1205.65</v>
      </c>
      <c r="AC39">
        <f aca="true" t="shared" si="32" ref="AC39:AJ39">AL39</f>
        <v>1205.65</v>
      </c>
      <c r="AD39">
        <f t="shared" si="32"/>
        <v>0</v>
      </c>
      <c r="AE39">
        <f t="shared" si="32"/>
        <v>0</v>
      </c>
      <c r="AF39">
        <f t="shared" si="32"/>
        <v>0</v>
      </c>
      <c r="AG39">
        <f t="shared" si="32"/>
        <v>0</v>
      </c>
      <c r="AH39">
        <f t="shared" si="32"/>
        <v>0</v>
      </c>
      <c r="AI39">
        <f t="shared" si="32"/>
        <v>0</v>
      </c>
      <c r="AJ39">
        <f t="shared" si="32"/>
        <v>0</v>
      </c>
      <c r="AK39">
        <v>1205.65</v>
      </c>
      <c r="AL39">
        <v>1205.65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1.003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7.85</v>
      </c>
      <c r="BH39">
        <v>3</v>
      </c>
      <c r="BI39">
        <v>1</v>
      </c>
      <c r="BJ39" t="s">
        <v>86</v>
      </c>
      <c r="BM39">
        <v>58</v>
      </c>
      <c r="BN39">
        <v>0</v>
      </c>
      <c r="BO39" t="s">
        <v>83</v>
      </c>
      <c r="BP39">
        <v>1</v>
      </c>
      <c r="BQ39">
        <v>30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14"/>
        <v>37344.46</v>
      </c>
      <c r="CQ39">
        <f t="shared" si="15"/>
        <v>9492.745557499999</v>
      </c>
      <c r="CR39">
        <f t="shared" si="16"/>
        <v>0</v>
      </c>
      <c r="CS39">
        <f t="shared" si="17"/>
        <v>0</v>
      </c>
      <c r="CT39">
        <f t="shared" si="18"/>
        <v>0</v>
      </c>
      <c r="CU39">
        <f t="shared" si="19"/>
        <v>0</v>
      </c>
      <c r="CV39">
        <f t="shared" si="20"/>
        <v>0</v>
      </c>
      <c r="CW39">
        <f t="shared" si="21"/>
        <v>0</v>
      </c>
      <c r="CX39">
        <f t="shared" si="22"/>
        <v>0</v>
      </c>
      <c r="CY39">
        <f t="shared" si="23"/>
        <v>0</v>
      </c>
      <c r="CZ39">
        <f t="shared" si="24"/>
        <v>0</v>
      </c>
      <c r="DN39">
        <v>138</v>
      </c>
      <c r="DO39">
        <v>70</v>
      </c>
      <c r="DP39">
        <v>1.087</v>
      </c>
      <c r="DQ39">
        <v>1.003</v>
      </c>
      <c r="DR39">
        <v>1</v>
      </c>
      <c r="DS39">
        <v>1</v>
      </c>
      <c r="DT39">
        <v>1</v>
      </c>
      <c r="DU39">
        <v>1007</v>
      </c>
      <c r="DV39" t="s">
        <v>85</v>
      </c>
      <c r="DW39" t="s">
        <v>85</v>
      </c>
      <c r="DX39">
        <v>1</v>
      </c>
      <c r="EE39">
        <v>22377044</v>
      </c>
      <c r="EF39">
        <v>30</v>
      </c>
      <c r="EG39" t="s">
        <v>23</v>
      </c>
      <c r="EH39">
        <v>0</v>
      </c>
      <c r="EJ39">
        <v>1</v>
      </c>
      <c r="EK39">
        <v>58</v>
      </c>
      <c r="EL39" t="s">
        <v>24</v>
      </c>
      <c r="EM39" t="s">
        <v>25</v>
      </c>
      <c r="EQ39">
        <v>0</v>
      </c>
      <c r="ER39">
        <v>1205.65</v>
      </c>
      <c r="ES39">
        <v>1205.65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25"/>
        <v>0</v>
      </c>
      <c r="FS39">
        <v>0</v>
      </c>
      <c r="FX39">
        <v>0</v>
      </c>
      <c r="FY39">
        <v>0</v>
      </c>
      <c r="GA39">
        <v>1205.65</v>
      </c>
      <c r="GB39">
        <v>1205.65</v>
      </c>
      <c r="GC39">
        <v>0</v>
      </c>
      <c r="GD39">
        <v>0</v>
      </c>
      <c r="GE39">
        <v>0</v>
      </c>
      <c r="GF39">
        <v>1205.65</v>
      </c>
      <c r="GG39">
        <v>1205.65</v>
      </c>
      <c r="GH39">
        <v>0</v>
      </c>
      <c r="GI39">
        <v>0</v>
      </c>
      <c r="GJ39">
        <v>0</v>
      </c>
      <c r="GK39">
        <v>0</v>
      </c>
      <c r="GL39">
        <v>0</v>
      </c>
    </row>
    <row r="40" spans="1:194" ht="12.75">
      <c r="A40">
        <v>17</v>
      </c>
      <c r="B40">
        <v>1</v>
      </c>
      <c r="C40">
        <f>ROW(SmtRes!A48)</f>
        <v>48</v>
      </c>
      <c r="D40">
        <f>ROW(EtalonRes!A48)</f>
        <v>48</v>
      </c>
      <c r="E40" t="s">
        <v>87</v>
      </c>
      <c r="F40" t="s">
        <v>64</v>
      </c>
      <c r="G40" t="s">
        <v>65</v>
      </c>
      <c r="H40" t="s">
        <v>29</v>
      </c>
      <c r="I40">
        <v>1.211</v>
      </c>
      <c r="J40">
        <v>0</v>
      </c>
      <c r="O40">
        <f t="shared" si="2"/>
        <v>21957.5</v>
      </c>
      <c r="P40">
        <f t="shared" si="3"/>
        <v>3931.98</v>
      </c>
      <c r="Q40">
        <f t="shared" si="4"/>
        <v>3235.56</v>
      </c>
      <c r="R40">
        <f t="shared" si="5"/>
        <v>1658.24</v>
      </c>
      <c r="S40">
        <f t="shared" si="6"/>
        <v>14789.96</v>
      </c>
      <c r="T40">
        <f t="shared" si="7"/>
        <v>0</v>
      </c>
      <c r="U40">
        <f t="shared" si="8"/>
        <v>80.23195915</v>
      </c>
      <c r="V40">
        <f t="shared" si="9"/>
        <v>0</v>
      </c>
      <c r="W40">
        <f t="shared" si="10"/>
        <v>0</v>
      </c>
      <c r="X40">
        <f t="shared" si="11"/>
        <v>13163.06</v>
      </c>
      <c r="Y40">
        <f t="shared" si="12"/>
        <v>6507.58</v>
      </c>
      <c r="AA40">
        <v>0</v>
      </c>
      <c r="AB40">
        <f t="shared" si="13"/>
        <v>1831.4524999999999</v>
      </c>
      <c r="AC40">
        <f>(ES40)</f>
        <v>705.14</v>
      </c>
      <c r="AD40">
        <f>((ET40*1.25))</f>
        <v>333.96250000000003</v>
      </c>
      <c r="AE40">
        <f>((EU40*1.25))</f>
        <v>88.83749999999999</v>
      </c>
      <c r="AF40">
        <f>((EV40*1.15))</f>
        <v>792.3499999999999</v>
      </c>
      <c r="AG40">
        <f>(AP40)</f>
        <v>0</v>
      </c>
      <c r="AH40">
        <f>((EW40*1.15))</f>
        <v>60.949999999999996</v>
      </c>
      <c r="AI40">
        <f>((EX40*1.25))</f>
        <v>0</v>
      </c>
      <c r="AJ40">
        <f>(AS40)</f>
        <v>0</v>
      </c>
      <c r="AK40">
        <v>1661.31</v>
      </c>
      <c r="AL40">
        <v>705.14</v>
      </c>
      <c r="AM40">
        <v>267.17</v>
      </c>
      <c r="AN40">
        <v>71.07</v>
      </c>
      <c r="AO40">
        <v>689</v>
      </c>
      <c r="AP40">
        <v>0</v>
      </c>
      <c r="AQ40">
        <v>53</v>
      </c>
      <c r="AR40">
        <v>0</v>
      </c>
      <c r="AS40">
        <v>0</v>
      </c>
      <c r="AT40">
        <v>89</v>
      </c>
      <c r="AU40">
        <v>44</v>
      </c>
      <c r="AV40">
        <v>1.087</v>
      </c>
      <c r="AW40">
        <v>1.001</v>
      </c>
      <c r="AX40">
        <v>1</v>
      </c>
      <c r="AY40">
        <v>1</v>
      </c>
      <c r="AZ40">
        <v>14.18</v>
      </c>
      <c r="BA40">
        <v>14.18</v>
      </c>
      <c r="BB40">
        <v>7.36</v>
      </c>
      <c r="BC40">
        <v>4.6</v>
      </c>
      <c r="BH40">
        <v>0</v>
      </c>
      <c r="BI40">
        <v>1</v>
      </c>
      <c r="BJ40" t="s">
        <v>66</v>
      </c>
      <c r="BM40">
        <v>96</v>
      </c>
      <c r="BN40">
        <v>0</v>
      </c>
      <c r="BO40" t="s">
        <v>64</v>
      </c>
      <c r="BP40">
        <v>1</v>
      </c>
      <c r="BQ40">
        <v>30</v>
      </c>
      <c r="BR40">
        <v>0</v>
      </c>
      <c r="BS40">
        <v>14.18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89</v>
      </c>
      <c r="CA40">
        <v>44</v>
      </c>
      <c r="CF40">
        <v>0</v>
      </c>
      <c r="CG40">
        <v>0</v>
      </c>
      <c r="CM40">
        <v>0</v>
      </c>
      <c r="CO40">
        <v>0</v>
      </c>
      <c r="CP40">
        <f t="shared" si="14"/>
        <v>21957.5</v>
      </c>
      <c r="CQ40">
        <f t="shared" si="15"/>
        <v>3246.8876439999995</v>
      </c>
      <c r="CR40">
        <f t="shared" si="16"/>
        <v>2671.806868</v>
      </c>
      <c r="CS40">
        <f t="shared" si="17"/>
        <v>1369.3110202499997</v>
      </c>
      <c r="CT40">
        <f t="shared" si="18"/>
        <v>12213.013500999998</v>
      </c>
      <c r="CU40">
        <f t="shared" si="19"/>
        <v>0</v>
      </c>
      <c r="CV40">
        <f t="shared" si="20"/>
        <v>66.25264999999999</v>
      </c>
      <c r="CW40">
        <f t="shared" si="21"/>
        <v>0</v>
      </c>
      <c r="CX40">
        <f t="shared" si="22"/>
        <v>0</v>
      </c>
      <c r="CY40">
        <f t="shared" si="23"/>
        <v>13163.0644</v>
      </c>
      <c r="CZ40">
        <f t="shared" si="24"/>
        <v>6507.582399999999</v>
      </c>
      <c r="DE40" t="s">
        <v>67</v>
      </c>
      <c r="DF40" t="s">
        <v>67</v>
      </c>
      <c r="DG40" t="s">
        <v>68</v>
      </c>
      <c r="DI40" t="s">
        <v>68</v>
      </c>
      <c r="DJ40" t="s">
        <v>67</v>
      </c>
      <c r="DN40">
        <v>104</v>
      </c>
      <c r="DO40">
        <v>79</v>
      </c>
      <c r="DP40">
        <v>1.087</v>
      </c>
      <c r="DQ40">
        <v>1.001</v>
      </c>
      <c r="DR40">
        <v>1</v>
      </c>
      <c r="DS40">
        <v>1</v>
      </c>
      <c r="DT40">
        <v>1</v>
      </c>
      <c r="DU40">
        <v>1005</v>
      </c>
      <c r="DV40" t="s">
        <v>29</v>
      </c>
      <c r="DW40" t="s">
        <v>29</v>
      </c>
      <c r="DX40">
        <v>100</v>
      </c>
      <c r="EE40">
        <v>22377082</v>
      </c>
      <c r="EF40">
        <v>30</v>
      </c>
      <c r="EG40" t="s">
        <v>23</v>
      </c>
      <c r="EH40">
        <v>0</v>
      </c>
      <c r="EJ40">
        <v>1</v>
      </c>
      <c r="EK40">
        <v>96</v>
      </c>
      <c r="EL40" t="s">
        <v>69</v>
      </c>
      <c r="EM40" t="s">
        <v>70</v>
      </c>
      <c r="EQ40">
        <v>64</v>
      </c>
      <c r="ER40">
        <v>1661.31</v>
      </c>
      <c r="ES40">
        <v>705.14</v>
      </c>
      <c r="ET40">
        <v>267.17</v>
      </c>
      <c r="EU40">
        <v>71.07</v>
      </c>
      <c r="EV40">
        <v>689</v>
      </c>
      <c r="EW40">
        <v>53</v>
      </c>
      <c r="EX40">
        <v>0</v>
      </c>
      <c r="EY40">
        <v>0</v>
      </c>
      <c r="EZ40">
        <v>0</v>
      </c>
      <c r="FQ40">
        <v>0</v>
      </c>
      <c r="FR40">
        <f t="shared" si="25"/>
        <v>0</v>
      </c>
      <c r="FS40">
        <v>0</v>
      </c>
      <c r="FX40">
        <v>89</v>
      </c>
      <c r="FY40">
        <v>44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1</v>
      </c>
      <c r="GL40">
        <v>0</v>
      </c>
    </row>
    <row r="41" spans="1:194" ht="12.75">
      <c r="A41">
        <v>18</v>
      </c>
      <c r="B41">
        <v>1</v>
      </c>
      <c r="C41">
        <v>45</v>
      </c>
      <c r="E41" t="s">
        <v>88</v>
      </c>
      <c r="F41" t="s">
        <v>72</v>
      </c>
      <c r="G41" t="s">
        <v>73</v>
      </c>
      <c r="H41" t="s">
        <v>74</v>
      </c>
      <c r="I41">
        <f>I40*J41</f>
        <v>163.485</v>
      </c>
      <c r="J41">
        <v>135</v>
      </c>
      <c r="O41">
        <f t="shared" si="2"/>
        <v>24553.52</v>
      </c>
      <c r="P41">
        <f t="shared" si="3"/>
        <v>24553.52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</v>
      </c>
      <c r="V41">
        <f t="shared" si="9"/>
        <v>0</v>
      </c>
      <c r="W41">
        <f t="shared" si="10"/>
        <v>0</v>
      </c>
      <c r="X41">
        <f t="shared" si="11"/>
        <v>0</v>
      </c>
      <c r="Y41">
        <f t="shared" si="12"/>
        <v>0</v>
      </c>
      <c r="AA41">
        <v>0</v>
      </c>
      <c r="AB41">
        <f t="shared" si="13"/>
        <v>25.09</v>
      </c>
      <c r="AC41">
        <f aca="true" t="shared" si="33" ref="AC41:AJ42">AL41</f>
        <v>25.09</v>
      </c>
      <c r="AD41">
        <f t="shared" si="33"/>
        <v>0</v>
      </c>
      <c r="AE41">
        <f t="shared" si="33"/>
        <v>0</v>
      </c>
      <c r="AF41">
        <f t="shared" si="33"/>
        <v>0</v>
      </c>
      <c r="AG41">
        <f t="shared" si="33"/>
        <v>0</v>
      </c>
      <c r="AH41">
        <f t="shared" si="33"/>
        <v>0</v>
      </c>
      <c r="AI41">
        <f t="shared" si="33"/>
        <v>0</v>
      </c>
      <c r="AJ41">
        <f t="shared" si="33"/>
        <v>0</v>
      </c>
      <c r="AK41">
        <v>25.09</v>
      </c>
      <c r="AL41">
        <v>25.09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1.001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5.98</v>
      </c>
      <c r="BH41">
        <v>3</v>
      </c>
      <c r="BI41">
        <v>1</v>
      </c>
      <c r="BJ41" t="s">
        <v>75</v>
      </c>
      <c r="BM41">
        <v>96</v>
      </c>
      <c r="BN41">
        <v>0</v>
      </c>
      <c r="BO41" t="s">
        <v>72</v>
      </c>
      <c r="BP41">
        <v>1</v>
      </c>
      <c r="BQ41">
        <v>30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14"/>
        <v>24553.52</v>
      </c>
      <c r="CQ41">
        <f t="shared" si="15"/>
        <v>150.1882382</v>
      </c>
      <c r="CR41">
        <f t="shared" si="16"/>
        <v>0</v>
      </c>
      <c r="CS41">
        <f t="shared" si="17"/>
        <v>0</v>
      </c>
      <c r="CT41">
        <f t="shared" si="18"/>
        <v>0</v>
      </c>
      <c r="CU41">
        <f t="shared" si="19"/>
        <v>0</v>
      </c>
      <c r="CV41">
        <f t="shared" si="20"/>
        <v>0</v>
      </c>
      <c r="CW41">
        <f t="shared" si="21"/>
        <v>0</v>
      </c>
      <c r="CX41">
        <f t="shared" si="22"/>
        <v>0</v>
      </c>
      <c r="CY41">
        <f t="shared" si="23"/>
        <v>0</v>
      </c>
      <c r="CZ41">
        <f t="shared" si="24"/>
        <v>0</v>
      </c>
      <c r="DN41">
        <v>104</v>
      </c>
      <c r="DO41">
        <v>79</v>
      </c>
      <c r="DP41">
        <v>1.087</v>
      </c>
      <c r="DQ41">
        <v>1.001</v>
      </c>
      <c r="DR41">
        <v>1</v>
      </c>
      <c r="DS41">
        <v>1</v>
      </c>
      <c r="DT41">
        <v>1</v>
      </c>
      <c r="DU41">
        <v>1005</v>
      </c>
      <c r="DV41" t="s">
        <v>74</v>
      </c>
      <c r="DW41" t="s">
        <v>74</v>
      </c>
      <c r="DX41">
        <v>1</v>
      </c>
      <c r="EE41">
        <v>22377082</v>
      </c>
      <c r="EF41">
        <v>30</v>
      </c>
      <c r="EG41" t="s">
        <v>23</v>
      </c>
      <c r="EH41">
        <v>0</v>
      </c>
      <c r="EJ41">
        <v>1</v>
      </c>
      <c r="EK41">
        <v>96</v>
      </c>
      <c r="EL41" t="s">
        <v>69</v>
      </c>
      <c r="EM41" t="s">
        <v>70</v>
      </c>
      <c r="EQ41">
        <v>0</v>
      </c>
      <c r="ER41">
        <v>25.09</v>
      </c>
      <c r="ES41">
        <v>25.09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0</v>
      </c>
      <c r="FQ41">
        <v>0</v>
      </c>
      <c r="FR41">
        <f t="shared" si="25"/>
        <v>0</v>
      </c>
      <c r="FS41">
        <v>0</v>
      </c>
      <c r="FX41">
        <v>0</v>
      </c>
      <c r="FY41">
        <v>0</v>
      </c>
      <c r="GA41">
        <v>25.09</v>
      </c>
      <c r="GB41">
        <v>25.09</v>
      </c>
      <c r="GC41">
        <v>0</v>
      </c>
      <c r="GD41">
        <v>0</v>
      </c>
      <c r="GE41">
        <v>0</v>
      </c>
      <c r="GF41">
        <v>25.09</v>
      </c>
      <c r="GG41">
        <v>25.09</v>
      </c>
      <c r="GH41">
        <v>0</v>
      </c>
      <c r="GI41">
        <v>0</v>
      </c>
      <c r="GJ41">
        <v>0</v>
      </c>
      <c r="GK41">
        <v>0</v>
      </c>
      <c r="GL41">
        <v>0</v>
      </c>
    </row>
    <row r="42" spans="1:194" ht="12.75">
      <c r="A42">
        <v>18</v>
      </c>
      <c r="B42">
        <v>1</v>
      </c>
      <c r="C42">
        <v>46</v>
      </c>
      <c r="E42" t="s">
        <v>89</v>
      </c>
      <c r="F42" t="s">
        <v>77</v>
      </c>
      <c r="G42" t="s">
        <v>78</v>
      </c>
      <c r="H42" t="s">
        <v>74</v>
      </c>
      <c r="I42">
        <f>I40*J42</f>
        <v>160.2153</v>
      </c>
      <c r="J42">
        <v>132.3</v>
      </c>
      <c r="O42">
        <f t="shared" si="2"/>
        <v>22041.63</v>
      </c>
      <c r="P42">
        <f t="shared" si="3"/>
        <v>22041.63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V42">
        <f t="shared" si="9"/>
        <v>0</v>
      </c>
      <c r="W42">
        <f t="shared" si="10"/>
        <v>0</v>
      </c>
      <c r="X42">
        <f t="shared" si="11"/>
        <v>0</v>
      </c>
      <c r="Y42">
        <f t="shared" si="12"/>
        <v>0</v>
      </c>
      <c r="AA42">
        <v>0</v>
      </c>
      <c r="AB42">
        <f t="shared" si="13"/>
        <v>23.06</v>
      </c>
      <c r="AC42">
        <f t="shared" si="33"/>
        <v>23.06</v>
      </c>
      <c r="AD42">
        <f t="shared" si="33"/>
        <v>0</v>
      </c>
      <c r="AE42">
        <f t="shared" si="33"/>
        <v>0</v>
      </c>
      <c r="AF42">
        <f t="shared" si="33"/>
        <v>0</v>
      </c>
      <c r="AG42">
        <f t="shared" si="33"/>
        <v>0</v>
      </c>
      <c r="AH42">
        <f t="shared" si="33"/>
        <v>0</v>
      </c>
      <c r="AI42">
        <f t="shared" si="33"/>
        <v>0</v>
      </c>
      <c r="AJ42">
        <f t="shared" si="33"/>
        <v>0</v>
      </c>
      <c r="AK42">
        <v>23.06</v>
      </c>
      <c r="AL42">
        <v>23.06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1.001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5.96</v>
      </c>
      <c r="BH42">
        <v>3</v>
      </c>
      <c r="BI42">
        <v>1</v>
      </c>
      <c r="BJ42" t="s">
        <v>79</v>
      </c>
      <c r="BM42">
        <v>96</v>
      </c>
      <c r="BN42">
        <v>0</v>
      </c>
      <c r="BO42" t="s">
        <v>77</v>
      </c>
      <c r="BP42">
        <v>1</v>
      </c>
      <c r="BQ42">
        <v>30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CP42">
        <f t="shared" si="14"/>
        <v>22041.63</v>
      </c>
      <c r="CQ42">
        <f t="shared" si="15"/>
        <v>137.57503759999997</v>
      </c>
      <c r="CR42">
        <f t="shared" si="16"/>
        <v>0</v>
      </c>
      <c r="CS42">
        <f t="shared" si="17"/>
        <v>0</v>
      </c>
      <c r="CT42">
        <f t="shared" si="18"/>
        <v>0</v>
      </c>
      <c r="CU42">
        <f t="shared" si="19"/>
        <v>0</v>
      </c>
      <c r="CV42">
        <f t="shared" si="20"/>
        <v>0</v>
      </c>
      <c r="CW42">
        <f t="shared" si="21"/>
        <v>0</v>
      </c>
      <c r="CX42">
        <f t="shared" si="22"/>
        <v>0</v>
      </c>
      <c r="CY42">
        <f t="shared" si="23"/>
        <v>0</v>
      </c>
      <c r="CZ42">
        <f t="shared" si="24"/>
        <v>0</v>
      </c>
      <c r="DN42">
        <v>104</v>
      </c>
      <c r="DO42">
        <v>79</v>
      </c>
      <c r="DP42">
        <v>1.087</v>
      </c>
      <c r="DQ42">
        <v>1.001</v>
      </c>
      <c r="DR42">
        <v>1</v>
      </c>
      <c r="DS42">
        <v>1</v>
      </c>
      <c r="DT42">
        <v>1</v>
      </c>
      <c r="DU42">
        <v>1005</v>
      </c>
      <c r="DV42" t="s">
        <v>74</v>
      </c>
      <c r="DW42" t="s">
        <v>74</v>
      </c>
      <c r="DX42">
        <v>1</v>
      </c>
      <c r="EE42">
        <v>22377082</v>
      </c>
      <c r="EF42">
        <v>30</v>
      </c>
      <c r="EG42" t="s">
        <v>23</v>
      </c>
      <c r="EH42">
        <v>0</v>
      </c>
      <c r="EJ42">
        <v>1</v>
      </c>
      <c r="EK42">
        <v>96</v>
      </c>
      <c r="EL42" t="s">
        <v>69</v>
      </c>
      <c r="EM42" t="s">
        <v>70</v>
      </c>
      <c r="EQ42">
        <v>0</v>
      </c>
      <c r="ER42">
        <v>23.06</v>
      </c>
      <c r="ES42">
        <v>23.06</v>
      </c>
      <c r="ET42">
        <v>0</v>
      </c>
      <c r="EU42">
        <v>0</v>
      </c>
      <c r="EV42">
        <v>0</v>
      </c>
      <c r="EW42">
        <v>0</v>
      </c>
      <c r="EX42">
        <v>0</v>
      </c>
      <c r="EZ42">
        <v>0</v>
      </c>
      <c r="FQ42">
        <v>0</v>
      </c>
      <c r="FR42">
        <f t="shared" si="25"/>
        <v>0</v>
      </c>
      <c r="FS42">
        <v>0</v>
      </c>
      <c r="FX42">
        <v>0</v>
      </c>
      <c r="FY42">
        <v>0</v>
      </c>
      <c r="GA42">
        <v>23.06</v>
      </c>
      <c r="GB42">
        <v>23.06</v>
      </c>
      <c r="GC42">
        <v>0</v>
      </c>
      <c r="GD42">
        <v>0</v>
      </c>
      <c r="GE42">
        <v>0</v>
      </c>
      <c r="GF42">
        <v>23.06</v>
      </c>
      <c r="GG42">
        <v>23.06</v>
      </c>
      <c r="GH42">
        <v>0</v>
      </c>
      <c r="GI42">
        <v>0</v>
      </c>
      <c r="GJ42">
        <v>0</v>
      </c>
      <c r="GK42">
        <v>0</v>
      </c>
      <c r="GL42">
        <v>0</v>
      </c>
    </row>
    <row r="43" spans="1:194" ht="12.75">
      <c r="A43">
        <v>17</v>
      </c>
      <c r="B43">
        <v>1</v>
      </c>
      <c r="C43">
        <f>ROW(SmtRes!A53)</f>
        <v>53</v>
      </c>
      <c r="D43">
        <f>ROW(EtalonRes!A53)</f>
        <v>53</v>
      </c>
      <c r="E43" t="s">
        <v>90</v>
      </c>
      <c r="F43" t="s">
        <v>91</v>
      </c>
      <c r="G43" t="s">
        <v>92</v>
      </c>
      <c r="H43" t="s">
        <v>93</v>
      </c>
      <c r="I43">
        <v>1</v>
      </c>
      <c r="J43">
        <v>0</v>
      </c>
      <c r="O43">
        <f t="shared" si="2"/>
        <v>125.15</v>
      </c>
      <c r="P43">
        <f t="shared" si="3"/>
        <v>65.99</v>
      </c>
      <c r="Q43">
        <f t="shared" si="4"/>
        <v>1.54</v>
      </c>
      <c r="R43">
        <f t="shared" si="5"/>
        <v>0.67</v>
      </c>
      <c r="S43">
        <f t="shared" si="6"/>
        <v>57.62</v>
      </c>
      <c r="T43">
        <f t="shared" si="7"/>
        <v>0</v>
      </c>
      <c r="U43">
        <f t="shared" si="8"/>
        <v>0.354244</v>
      </c>
      <c r="V43">
        <f t="shared" si="9"/>
        <v>0</v>
      </c>
      <c r="W43">
        <f t="shared" si="10"/>
        <v>0</v>
      </c>
      <c r="X43">
        <f t="shared" si="11"/>
        <v>53.59</v>
      </c>
      <c r="Y43">
        <f t="shared" si="12"/>
        <v>25.35</v>
      </c>
      <c r="AA43">
        <v>0</v>
      </c>
      <c r="AB43">
        <f t="shared" si="13"/>
        <v>16.208</v>
      </c>
      <c r="AC43">
        <f>(ES43)</f>
        <v>12.22</v>
      </c>
      <c r="AD43">
        <f>((ET43*0.4))</f>
        <v>0.18000000000000002</v>
      </c>
      <c r="AE43">
        <f>((EU43*0.4))</f>
        <v>0.044000000000000004</v>
      </c>
      <c r="AF43">
        <f>((EV43*0.4))</f>
        <v>3.808</v>
      </c>
      <c r="AG43">
        <f>(AP43)</f>
        <v>0</v>
      </c>
      <c r="AH43">
        <f>((EW43*0.4))</f>
        <v>0.332</v>
      </c>
      <c r="AI43">
        <f>((EX43*0.4))</f>
        <v>0</v>
      </c>
      <c r="AJ43">
        <f>(AS43)</f>
        <v>0</v>
      </c>
      <c r="AK43">
        <v>22.19</v>
      </c>
      <c r="AL43">
        <v>12.22</v>
      </c>
      <c r="AM43">
        <v>0.45</v>
      </c>
      <c r="AN43">
        <v>0.11</v>
      </c>
      <c r="AO43">
        <v>9.52</v>
      </c>
      <c r="AP43">
        <v>0</v>
      </c>
      <c r="AQ43">
        <v>0.83</v>
      </c>
      <c r="AR43">
        <v>0</v>
      </c>
      <c r="AS43">
        <v>0</v>
      </c>
      <c r="AT43">
        <v>93</v>
      </c>
      <c r="AU43">
        <v>44</v>
      </c>
      <c r="AV43">
        <v>1.067</v>
      </c>
      <c r="AW43">
        <v>1</v>
      </c>
      <c r="AX43">
        <v>1</v>
      </c>
      <c r="AY43">
        <v>1</v>
      </c>
      <c r="AZ43">
        <v>14.18</v>
      </c>
      <c r="BA43">
        <v>14.18</v>
      </c>
      <c r="BB43">
        <v>8</v>
      </c>
      <c r="BC43">
        <v>5.4</v>
      </c>
      <c r="BH43">
        <v>0</v>
      </c>
      <c r="BI43">
        <v>1</v>
      </c>
      <c r="BJ43" t="s">
        <v>94</v>
      </c>
      <c r="BM43">
        <v>133</v>
      </c>
      <c r="BN43">
        <v>0</v>
      </c>
      <c r="BO43" t="s">
        <v>91</v>
      </c>
      <c r="BP43">
        <v>1</v>
      </c>
      <c r="BQ43">
        <v>30</v>
      </c>
      <c r="BR43">
        <v>0</v>
      </c>
      <c r="BS43">
        <v>14.18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93</v>
      </c>
      <c r="CA43">
        <v>44</v>
      </c>
      <c r="CF43">
        <v>0</v>
      </c>
      <c r="CG43">
        <v>0</v>
      </c>
      <c r="CM43">
        <v>0</v>
      </c>
      <c r="CO43">
        <v>0</v>
      </c>
      <c r="CP43">
        <f t="shared" si="14"/>
        <v>125.15</v>
      </c>
      <c r="CQ43">
        <f t="shared" si="15"/>
        <v>65.98800000000001</v>
      </c>
      <c r="CR43">
        <f t="shared" si="16"/>
        <v>1.53648</v>
      </c>
      <c r="CS43">
        <f t="shared" si="17"/>
        <v>0.66572264</v>
      </c>
      <c r="CT43">
        <f t="shared" si="18"/>
        <v>57.61526847999999</v>
      </c>
      <c r="CU43">
        <f t="shared" si="19"/>
        <v>0</v>
      </c>
      <c r="CV43">
        <f t="shared" si="20"/>
        <v>0.354244</v>
      </c>
      <c r="CW43">
        <f t="shared" si="21"/>
        <v>0</v>
      </c>
      <c r="CX43">
        <f t="shared" si="22"/>
        <v>0</v>
      </c>
      <c r="CY43">
        <f t="shared" si="23"/>
        <v>53.5866</v>
      </c>
      <c r="CZ43">
        <f t="shared" si="24"/>
        <v>25.3528</v>
      </c>
      <c r="DE43" t="s">
        <v>95</v>
      </c>
      <c r="DF43" t="s">
        <v>95</v>
      </c>
      <c r="DG43" t="s">
        <v>95</v>
      </c>
      <c r="DI43" t="s">
        <v>95</v>
      </c>
      <c r="DJ43" t="s">
        <v>95</v>
      </c>
      <c r="DN43">
        <v>110</v>
      </c>
      <c r="DO43">
        <v>74</v>
      </c>
      <c r="DP43">
        <v>1.067</v>
      </c>
      <c r="DQ43">
        <v>1</v>
      </c>
      <c r="DR43">
        <v>1</v>
      </c>
      <c r="DS43">
        <v>1</v>
      </c>
      <c r="DT43">
        <v>1</v>
      </c>
      <c r="DU43">
        <v>1010</v>
      </c>
      <c r="DV43" t="s">
        <v>93</v>
      </c>
      <c r="DW43" t="s">
        <v>93</v>
      </c>
      <c r="DX43">
        <v>1</v>
      </c>
      <c r="EE43">
        <v>22377119</v>
      </c>
      <c r="EF43">
        <v>30</v>
      </c>
      <c r="EG43" t="s">
        <v>23</v>
      </c>
      <c r="EH43">
        <v>0</v>
      </c>
      <c r="EJ43">
        <v>1</v>
      </c>
      <c r="EK43">
        <v>133</v>
      </c>
      <c r="EL43" t="s">
        <v>96</v>
      </c>
      <c r="EM43" t="s">
        <v>97</v>
      </c>
      <c r="EQ43">
        <v>64</v>
      </c>
      <c r="ER43">
        <v>22.19</v>
      </c>
      <c r="ES43">
        <v>12.22</v>
      </c>
      <c r="ET43">
        <v>0.45</v>
      </c>
      <c r="EU43">
        <v>0.11</v>
      </c>
      <c r="EV43">
        <v>9.52</v>
      </c>
      <c r="EW43">
        <v>0.83</v>
      </c>
      <c r="EX43">
        <v>0</v>
      </c>
      <c r="EY43">
        <v>0</v>
      </c>
      <c r="EZ43">
        <v>0</v>
      </c>
      <c r="FQ43">
        <v>0</v>
      </c>
      <c r="FR43">
        <f t="shared" si="25"/>
        <v>0</v>
      </c>
      <c r="FS43">
        <v>0</v>
      </c>
      <c r="FX43">
        <v>93</v>
      </c>
      <c r="FY43">
        <v>44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</row>
    <row r="44" spans="1:194" ht="12.75">
      <c r="A44">
        <v>17</v>
      </c>
      <c r="B44">
        <v>1</v>
      </c>
      <c r="C44">
        <f>ROW(SmtRes!A58)</f>
        <v>58</v>
      </c>
      <c r="D44">
        <f>ROW(EtalonRes!A58)</f>
        <v>58</v>
      </c>
      <c r="E44" t="s">
        <v>98</v>
      </c>
      <c r="F44" t="s">
        <v>99</v>
      </c>
      <c r="G44" t="s">
        <v>100</v>
      </c>
      <c r="H44" t="s">
        <v>93</v>
      </c>
      <c r="I44">
        <v>1</v>
      </c>
      <c r="J44">
        <v>0</v>
      </c>
      <c r="O44">
        <f t="shared" si="2"/>
        <v>368.1</v>
      </c>
      <c r="P44">
        <f t="shared" si="3"/>
        <v>92.18</v>
      </c>
      <c r="Q44">
        <f t="shared" si="4"/>
        <v>7.97</v>
      </c>
      <c r="R44">
        <f t="shared" si="5"/>
        <v>3.4</v>
      </c>
      <c r="S44">
        <f t="shared" si="6"/>
        <v>267.95</v>
      </c>
      <c r="T44">
        <f t="shared" si="7"/>
        <v>0</v>
      </c>
      <c r="U44">
        <f t="shared" si="8"/>
        <v>1.668788</v>
      </c>
      <c r="V44">
        <f t="shared" si="9"/>
        <v>0</v>
      </c>
      <c r="W44">
        <f t="shared" si="10"/>
        <v>0</v>
      </c>
      <c r="X44">
        <f t="shared" si="11"/>
        <v>249.19</v>
      </c>
      <c r="Y44">
        <f t="shared" si="12"/>
        <v>117.9</v>
      </c>
      <c r="AA44">
        <v>0</v>
      </c>
      <c r="AB44">
        <f t="shared" si="13"/>
        <v>35.425</v>
      </c>
      <c r="AC44">
        <f>(ES44)</f>
        <v>16.79</v>
      </c>
      <c r="AD44">
        <f>((ET44*1.25))</f>
        <v>0.925</v>
      </c>
      <c r="AE44">
        <f>((EU44*1.25))</f>
        <v>0.22499999999999998</v>
      </c>
      <c r="AF44">
        <f>((EV44*1.15))</f>
        <v>17.709999999999997</v>
      </c>
      <c r="AG44">
        <f>(AP44)</f>
        <v>0</v>
      </c>
      <c r="AH44">
        <f>((EW44*1.15))</f>
        <v>1.564</v>
      </c>
      <c r="AI44">
        <f>((EX44*1.25))</f>
        <v>0</v>
      </c>
      <c r="AJ44">
        <f>(AS44)</f>
        <v>0</v>
      </c>
      <c r="AK44">
        <v>32.93</v>
      </c>
      <c r="AL44">
        <v>16.79</v>
      </c>
      <c r="AM44">
        <v>0.74</v>
      </c>
      <c r="AN44">
        <v>0.18</v>
      </c>
      <c r="AO44">
        <v>15.4</v>
      </c>
      <c r="AP44">
        <v>0</v>
      </c>
      <c r="AQ44">
        <v>1.36</v>
      </c>
      <c r="AR44">
        <v>0</v>
      </c>
      <c r="AS44">
        <v>0</v>
      </c>
      <c r="AT44">
        <v>93</v>
      </c>
      <c r="AU44">
        <v>44</v>
      </c>
      <c r="AV44">
        <v>1.067</v>
      </c>
      <c r="AW44">
        <v>1</v>
      </c>
      <c r="AX44">
        <v>1</v>
      </c>
      <c r="AY44">
        <v>1</v>
      </c>
      <c r="AZ44">
        <v>14.18</v>
      </c>
      <c r="BA44">
        <v>14.18</v>
      </c>
      <c r="BB44">
        <v>8.08</v>
      </c>
      <c r="BC44">
        <v>5.49</v>
      </c>
      <c r="BH44">
        <v>0</v>
      </c>
      <c r="BI44">
        <v>1</v>
      </c>
      <c r="BJ44" t="s">
        <v>101</v>
      </c>
      <c r="BM44">
        <v>133</v>
      </c>
      <c r="BN44">
        <v>0</v>
      </c>
      <c r="BO44" t="s">
        <v>99</v>
      </c>
      <c r="BP44">
        <v>1</v>
      </c>
      <c r="BQ44">
        <v>30</v>
      </c>
      <c r="BR44">
        <v>0</v>
      </c>
      <c r="BS44">
        <v>14.18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93</v>
      </c>
      <c r="CA44">
        <v>44</v>
      </c>
      <c r="CF44">
        <v>0</v>
      </c>
      <c r="CG44">
        <v>0</v>
      </c>
      <c r="CM44">
        <v>0</v>
      </c>
      <c r="CO44">
        <v>0</v>
      </c>
      <c r="CP44">
        <f t="shared" si="14"/>
        <v>368.1</v>
      </c>
      <c r="CQ44">
        <f t="shared" si="15"/>
        <v>92.1771</v>
      </c>
      <c r="CR44">
        <f t="shared" si="16"/>
        <v>7.9747580000000005</v>
      </c>
      <c r="CS44">
        <f t="shared" si="17"/>
        <v>3.4042634999999994</v>
      </c>
      <c r="CT44">
        <f t="shared" si="18"/>
        <v>267.95336259999993</v>
      </c>
      <c r="CU44">
        <f t="shared" si="19"/>
        <v>0</v>
      </c>
      <c r="CV44">
        <f t="shared" si="20"/>
        <v>1.668788</v>
      </c>
      <c r="CW44">
        <f t="shared" si="21"/>
        <v>0</v>
      </c>
      <c r="CX44">
        <f t="shared" si="22"/>
        <v>0</v>
      </c>
      <c r="CY44">
        <f t="shared" si="23"/>
        <v>249.1935</v>
      </c>
      <c r="CZ44">
        <f t="shared" si="24"/>
        <v>117.898</v>
      </c>
      <c r="DE44" t="s">
        <v>67</v>
      </c>
      <c r="DF44" t="s">
        <v>67</v>
      </c>
      <c r="DG44" t="s">
        <v>68</v>
      </c>
      <c r="DI44" t="s">
        <v>68</v>
      </c>
      <c r="DJ44" t="s">
        <v>67</v>
      </c>
      <c r="DN44">
        <v>110</v>
      </c>
      <c r="DO44">
        <v>74</v>
      </c>
      <c r="DP44">
        <v>1.067</v>
      </c>
      <c r="DQ44">
        <v>1</v>
      </c>
      <c r="DR44">
        <v>1</v>
      </c>
      <c r="DS44">
        <v>1</v>
      </c>
      <c r="DT44">
        <v>1</v>
      </c>
      <c r="DU44">
        <v>1010</v>
      </c>
      <c r="DV44" t="s">
        <v>93</v>
      </c>
      <c r="DW44" t="s">
        <v>93</v>
      </c>
      <c r="DX44">
        <v>1</v>
      </c>
      <c r="EE44">
        <v>22377119</v>
      </c>
      <c r="EF44">
        <v>30</v>
      </c>
      <c r="EG44" t="s">
        <v>23</v>
      </c>
      <c r="EH44">
        <v>0</v>
      </c>
      <c r="EJ44">
        <v>1</v>
      </c>
      <c r="EK44">
        <v>133</v>
      </c>
      <c r="EL44" t="s">
        <v>96</v>
      </c>
      <c r="EM44" t="s">
        <v>97</v>
      </c>
      <c r="EQ44">
        <v>64</v>
      </c>
      <c r="ER44">
        <v>32.93</v>
      </c>
      <c r="ES44">
        <v>16.79</v>
      </c>
      <c r="ET44">
        <v>0.74</v>
      </c>
      <c r="EU44">
        <v>0.18</v>
      </c>
      <c r="EV44">
        <v>15.4</v>
      </c>
      <c r="EW44">
        <v>1.36</v>
      </c>
      <c r="EX44">
        <v>0</v>
      </c>
      <c r="EY44">
        <v>0</v>
      </c>
      <c r="EZ44">
        <v>0</v>
      </c>
      <c r="FQ44">
        <v>0</v>
      </c>
      <c r="FR44">
        <f t="shared" si="25"/>
        <v>0</v>
      </c>
      <c r="FS44">
        <v>0</v>
      </c>
      <c r="FX44">
        <v>93</v>
      </c>
      <c r="FY44">
        <v>44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</row>
    <row r="45" spans="1:194" ht="12.75">
      <c r="A45">
        <v>18</v>
      </c>
      <c r="B45">
        <v>1</v>
      </c>
      <c r="C45">
        <v>58</v>
      </c>
      <c r="E45" t="s">
        <v>102</v>
      </c>
      <c r="F45" t="s">
        <v>103</v>
      </c>
      <c r="G45" t="s">
        <v>104</v>
      </c>
      <c r="H45" t="s">
        <v>93</v>
      </c>
      <c r="I45">
        <f>I44*J45</f>
        <v>1</v>
      </c>
      <c r="J45">
        <v>1</v>
      </c>
      <c r="O45">
        <f t="shared" si="2"/>
        <v>264.59</v>
      </c>
      <c r="P45">
        <f t="shared" si="3"/>
        <v>264.59</v>
      </c>
      <c r="Q45">
        <f t="shared" si="4"/>
        <v>0</v>
      </c>
      <c r="R45">
        <f t="shared" si="5"/>
        <v>0</v>
      </c>
      <c r="S45">
        <f t="shared" si="6"/>
        <v>0</v>
      </c>
      <c r="T45">
        <f t="shared" si="7"/>
        <v>0</v>
      </c>
      <c r="U45">
        <f t="shared" si="8"/>
        <v>0</v>
      </c>
      <c r="V45">
        <f t="shared" si="9"/>
        <v>0</v>
      </c>
      <c r="W45">
        <f t="shared" si="10"/>
        <v>0</v>
      </c>
      <c r="X45">
        <f t="shared" si="11"/>
        <v>0</v>
      </c>
      <c r="Y45">
        <f t="shared" si="12"/>
        <v>0</v>
      </c>
      <c r="AA45">
        <v>0</v>
      </c>
      <c r="AB45">
        <f t="shared" si="13"/>
        <v>115.54</v>
      </c>
      <c r="AC45">
        <f aca="true" t="shared" si="34" ref="AC45:AJ45">AL45</f>
        <v>115.54</v>
      </c>
      <c r="AD45">
        <f t="shared" si="34"/>
        <v>0</v>
      </c>
      <c r="AE45">
        <f t="shared" si="34"/>
        <v>0</v>
      </c>
      <c r="AF45">
        <f t="shared" si="34"/>
        <v>0</v>
      </c>
      <c r="AG45">
        <f t="shared" si="34"/>
        <v>0</v>
      </c>
      <c r="AH45">
        <f t="shared" si="34"/>
        <v>0</v>
      </c>
      <c r="AI45">
        <f t="shared" si="34"/>
        <v>0</v>
      </c>
      <c r="AJ45">
        <f t="shared" si="34"/>
        <v>0</v>
      </c>
      <c r="AK45">
        <v>115.54</v>
      </c>
      <c r="AL45">
        <v>115.54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2.29</v>
      </c>
      <c r="BH45">
        <v>3</v>
      </c>
      <c r="BI45">
        <v>1</v>
      </c>
      <c r="BJ45" t="s">
        <v>105</v>
      </c>
      <c r="BM45">
        <v>133</v>
      </c>
      <c r="BN45">
        <v>0</v>
      </c>
      <c r="BO45" t="s">
        <v>103</v>
      </c>
      <c r="BP45">
        <v>1</v>
      </c>
      <c r="BQ45">
        <v>30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0</v>
      </c>
      <c r="CA45">
        <v>0</v>
      </c>
      <c r="CF45">
        <v>0</v>
      </c>
      <c r="CG45">
        <v>0</v>
      </c>
      <c r="CM45">
        <v>0</v>
      </c>
      <c r="CO45">
        <v>0</v>
      </c>
      <c r="CP45">
        <f t="shared" si="14"/>
        <v>264.59</v>
      </c>
      <c r="CQ45">
        <f t="shared" si="15"/>
        <v>264.58660000000003</v>
      </c>
      <c r="CR45">
        <f t="shared" si="16"/>
        <v>0</v>
      </c>
      <c r="CS45">
        <f t="shared" si="17"/>
        <v>0</v>
      </c>
      <c r="CT45">
        <f t="shared" si="18"/>
        <v>0</v>
      </c>
      <c r="CU45">
        <f t="shared" si="19"/>
        <v>0</v>
      </c>
      <c r="CV45">
        <f t="shared" si="20"/>
        <v>0</v>
      </c>
      <c r="CW45">
        <f t="shared" si="21"/>
        <v>0</v>
      </c>
      <c r="CX45">
        <f t="shared" si="22"/>
        <v>0</v>
      </c>
      <c r="CY45">
        <f t="shared" si="23"/>
        <v>0</v>
      </c>
      <c r="CZ45">
        <f t="shared" si="24"/>
        <v>0</v>
      </c>
      <c r="DN45">
        <v>110</v>
      </c>
      <c r="DO45">
        <v>74</v>
      </c>
      <c r="DP45">
        <v>1.067</v>
      </c>
      <c r="DQ45">
        <v>1</v>
      </c>
      <c r="DR45">
        <v>1</v>
      </c>
      <c r="DS45">
        <v>1</v>
      </c>
      <c r="DT45">
        <v>1</v>
      </c>
      <c r="DU45">
        <v>1010</v>
      </c>
      <c r="DV45" t="s">
        <v>93</v>
      </c>
      <c r="DW45" t="s">
        <v>93</v>
      </c>
      <c r="DX45">
        <v>1</v>
      </c>
      <c r="EE45">
        <v>22377119</v>
      </c>
      <c r="EF45">
        <v>30</v>
      </c>
      <c r="EG45" t="s">
        <v>23</v>
      </c>
      <c r="EH45">
        <v>0</v>
      </c>
      <c r="EJ45">
        <v>1</v>
      </c>
      <c r="EK45">
        <v>133</v>
      </c>
      <c r="EL45" t="s">
        <v>96</v>
      </c>
      <c r="EM45" t="s">
        <v>97</v>
      </c>
      <c r="EQ45">
        <v>0</v>
      </c>
      <c r="ER45">
        <v>115.54</v>
      </c>
      <c r="ES45">
        <v>115.54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0</v>
      </c>
      <c r="FQ45">
        <v>0</v>
      </c>
      <c r="FR45">
        <f t="shared" si="25"/>
        <v>0</v>
      </c>
      <c r="FS45">
        <v>0</v>
      </c>
      <c r="FX45">
        <v>0</v>
      </c>
      <c r="FY45">
        <v>0</v>
      </c>
      <c r="GA45">
        <v>115.54</v>
      </c>
      <c r="GB45">
        <v>115.54</v>
      </c>
      <c r="GC45">
        <v>0</v>
      </c>
      <c r="GD45">
        <v>0</v>
      </c>
      <c r="GE45">
        <v>0</v>
      </c>
      <c r="GF45">
        <v>115.54</v>
      </c>
      <c r="GG45">
        <v>115.54</v>
      </c>
      <c r="GH45">
        <v>0</v>
      </c>
      <c r="GI45">
        <v>0</v>
      </c>
      <c r="GJ45">
        <v>0</v>
      </c>
      <c r="GK45">
        <v>0</v>
      </c>
      <c r="GL45">
        <v>0</v>
      </c>
    </row>
    <row r="46" spans="1:194" ht="12.75">
      <c r="A46">
        <v>17</v>
      </c>
      <c r="B46">
        <v>1</v>
      </c>
      <c r="C46">
        <f>ROW(SmtRes!A59)</f>
        <v>59</v>
      </c>
      <c r="D46">
        <f>ROW(EtalonRes!A59)</f>
        <v>59</v>
      </c>
      <c r="E46" t="s">
        <v>106</v>
      </c>
      <c r="F46" t="s">
        <v>107</v>
      </c>
      <c r="G46" t="s">
        <v>108</v>
      </c>
      <c r="H46" t="s">
        <v>44</v>
      </c>
      <c r="I46">
        <v>19.015</v>
      </c>
      <c r="J46">
        <v>0</v>
      </c>
      <c r="O46">
        <f t="shared" si="2"/>
        <v>2715.78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2715.78</v>
      </c>
      <c r="T46">
        <f t="shared" si="7"/>
        <v>0</v>
      </c>
      <c r="U46">
        <f t="shared" si="8"/>
        <v>20.3068791</v>
      </c>
      <c r="V46">
        <f t="shared" si="9"/>
        <v>0</v>
      </c>
      <c r="W46">
        <f t="shared" si="10"/>
        <v>0</v>
      </c>
      <c r="X46">
        <f t="shared" si="11"/>
        <v>2091.15</v>
      </c>
      <c r="Y46">
        <f t="shared" si="12"/>
        <v>1194.94</v>
      </c>
      <c r="AA46">
        <v>0</v>
      </c>
      <c r="AB46">
        <f t="shared" si="13"/>
        <v>9.62</v>
      </c>
      <c r="AC46">
        <f aca="true" t="shared" si="35" ref="AC46:AF48">(ES46)</f>
        <v>0</v>
      </c>
      <c r="AD46">
        <f t="shared" si="35"/>
        <v>0</v>
      </c>
      <c r="AE46">
        <f t="shared" si="35"/>
        <v>0</v>
      </c>
      <c r="AF46">
        <f t="shared" si="35"/>
        <v>9.62</v>
      </c>
      <c r="AG46">
        <f>(AP46)</f>
        <v>0</v>
      </c>
      <c r="AH46">
        <f aca="true" t="shared" si="36" ref="AH46:AI48">(EW46)</f>
        <v>1.02</v>
      </c>
      <c r="AI46">
        <f t="shared" si="36"/>
        <v>0</v>
      </c>
      <c r="AJ46">
        <f>(AS46)</f>
        <v>0</v>
      </c>
      <c r="AK46">
        <v>9.62</v>
      </c>
      <c r="AL46">
        <v>0</v>
      </c>
      <c r="AM46">
        <v>0</v>
      </c>
      <c r="AN46">
        <v>0</v>
      </c>
      <c r="AO46">
        <v>9.62</v>
      </c>
      <c r="AP46">
        <v>0</v>
      </c>
      <c r="AQ46">
        <v>1.02</v>
      </c>
      <c r="AR46">
        <v>0</v>
      </c>
      <c r="AS46">
        <v>0</v>
      </c>
      <c r="AT46">
        <v>77</v>
      </c>
      <c r="AU46">
        <v>44</v>
      </c>
      <c r="AV46">
        <v>1.047</v>
      </c>
      <c r="AW46">
        <v>1.002</v>
      </c>
      <c r="AX46">
        <v>1</v>
      </c>
      <c r="AY46">
        <v>1</v>
      </c>
      <c r="AZ46">
        <v>14.18</v>
      </c>
      <c r="BA46">
        <v>14.18</v>
      </c>
      <c r="BB46">
        <v>1</v>
      </c>
      <c r="BC46">
        <v>1</v>
      </c>
      <c r="BH46">
        <v>0</v>
      </c>
      <c r="BI46">
        <v>1</v>
      </c>
      <c r="BJ46" t="s">
        <v>109</v>
      </c>
      <c r="BM46">
        <v>682</v>
      </c>
      <c r="BN46">
        <v>0</v>
      </c>
      <c r="BO46" t="s">
        <v>107</v>
      </c>
      <c r="BP46">
        <v>1</v>
      </c>
      <c r="BQ46">
        <v>60</v>
      </c>
      <c r="BR46">
        <v>0</v>
      </c>
      <c r="BS46">
        <v>14.18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77</v>
      </c>
      <c r="CA46">
        <v>44</v>
      </c>
      <c r="CF46">
        <v>0</v>
      </c>
      <c r="CG46">
        <v>0</v>
      </c>
      <c r="CM46">
        <v>0</v>
      </c>
      <c r="CO46">
        <v>0</v>
      </c>
      <c r="CP46">
        <f t="shared" si="14"/>
        <v>2715.78</v>
      </c>
      <c r="CQ46">
        <f t="shared" si="15"/>
        <v>0</v>
      </c>
      <c r="CR46">
        <f t="shared" si="16"/>
        <v>0</v>
      </c>
      <c r="CS46">
        <f t="shared" si="17"/>
        <v>0</v>
      </c>
      <c r="CT46">
        <f t="shared" si="18"/>
        <v>142.8229452</v>
      </c>
      <c r="CU46">
        <f t="shared" si="19"/>
        <v>0</v>
      </c>
      <c r="CV46">
        <f t="shared" si="20"/>
        <v>1.06794</v>
      </c>
      <c r="CW46">
        <f t="shared" si="21"/>
        <v>0</v>
      </c>
      <c r="CX46">
        <f t="shared" si="22"/>
        <v>0</v>
      </c>
      <c r="CY46">
        <f t="shared" si="23"/>
        <v>2091.1506000000004</v>
      </c>
      <c r="CZ46">
        <f t="shared" si="24"/>
        <v>1194.9432000000002</v>
      </c>
      <c r="DN46">
        <v>91</v>
      </c>
      <c r="DO46">
        <v>70</v>
      </c>
      <c r="DP46">
        <v>1.047</v>
      </c>
      <c r="DQ46">
        <v>1.002</v>
      </c>
      <c r="DR46">
        <v>1</v>
      </c>
      <c r="DS46">
        <v>1</v>
      </c>
      <c r="DT46">
        <v>1</v>
      </c>
      <c r="DU46">
        <v>1009</v>
      </c>
      <c r="DV46" t="s">
        <v>44</v>
      </c>
      <c r="DW46" t="s">
        <v>44</v>
      </c>
      <c r="DX46">
        <v>1000</v>
      </c>
      <c r="EE46">
        <v>22377668</v>
      </c>
      <c r="EF46">
        <v>60</v>
      </c>
      <c r="EG46" t="s">
        <v>31</v>
      </c>
      <c r="EH46">
        <v>0</v>
      </c>
      <c r="EJ46">
        <v>1</v>
      </c>
      <c r="EK46">
        <v>682</v>
      </c>
      <c r="EL46" t="s">
        <v>110</v>
      </c>
      <c r="EM46" t="s">
        <v>111</v>
      </c>
      <c r="EQ46">
        <v>64</v>
      </c>
      <c r="ER46">
        <v>9.62</v>
      </c>
      <c r="ES46">
        <v>0</v>
      </c>
      <c r="ET46">
        <v>0</v>
      </c>
      <c r="EU46">
        <v>0</v>
      </c>
      <c r="EV46">
        <v>9.62</v>
      </c>
      <c r="EW46">
        <v>1.02</v>
      </c>
      <c r="EX46">
        <v>0</v>
      </c>
      <c r="EY46">
        <v>0</v>
      </c>
      <c r="EZ46">
        <v>0</v>
      </c>
      <c r="FQ46">
        <v>0</v>
      </c>
      <c r="FR46">
        <f t="shared" si="25"/>
        <v>0</v>
      </c>
      <c r="FS46">
        <v>0</v>
      </c>
      <c r="FX46">
        <v>77</v>
      </c>
      <c r="FY46">
        <v>44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</row>
    <row r="47" spans="1:194" ht="12.75">
      <c r="A47">
        <v>17</v>
      </c>
      <c r="B47">
        <v>1</v>
      </c>
      <c r="E47" t="s">
        <v>112</v>
      </c>
      <c r="F47" t="s">
        <v>113</v>
      </c>
      <c r="G47" t="s">
        <v>114</v>
      </c>
      <c r="H47" t="s">
        <v>44</v>
      </c>
      <c r="I47">
        <v>19.015</v>
      </c>
      <c r="J47">
        <v>0</v>
      </c>
      <c r="O47">
        <f t="shared" si="2"/>
        <v>8408.62</v>
      </c>
      <c r="P47">
        <f t="shared" si="3"/>
        <v>0</v>
      </c>
      <c r="Q47">
        <f t="shared" si="4"/>
        <v>8408.62</v>
      </c>
      <c r="R47">
        <f t="shared" si="5"/>
        <v>0</v>
      </c>
      <c r="S47">
        <f t="shared" si="6"/>
        <v>0</v>
      </c>
      <c r="T47">
        <f t="shared" si="7"/>
        <v>0</v>
      </c>
      <c r="U47">
        <f t="shared" si="8"/>
        <v>0</v>
      </c>
      <c r="V47">
        <f t="shared" si="9"/>
        <v>0</v>
      </c>
      <c r="W47">
        <f t="shared" si="10"/>
        <v>0</v>
      </c>
      <c r="X47">
        <f t="shared" si="11"/>
        <v>0</v>
      </c>
      <c r="Y47">
        <f t="shared" si="12"/>
        <v>0</v>
      </c>
      <c r="AA47">
        <v>0</v>
      </c>
      <c r="AB47">
        <f t="shared" si="13"/>
        <v>89.88</v>
      </c>
      <c r="AC47">
        <f t="shared" si="35"/>
        <v>0</v>
      </c>
      <c r="AD47">
        <f t="shared" si="35"/>
        <v>89.88</v>
      </c>
      <c r="AE47">
        <f t="shared" si="35"/>
        <v>0</v>
      </c>
      <c r="AF47">
        <f t="shared" si="35"/>
        <v>0</v>
      </c>
      <c r="AG47">
        <f>(AP47)</f>
        <v>0</v>
      </c>
      <c r="AH47">
        <f t="shared" si="36"/>
        <v>0</v>
      </c>
      <c r="AI47">
        <f t="shared" si="36"/>
        <v>0</v>
      </c>
      <c r="AJ47">
        <f>(AS47)</f>
        <v>0</v>
      </c>
      <c r="AK47">
        <v>89.88</v>
      </c>
      <c r="AL47">
        <v>0</v>
      </c>
      <c r="AM47">
        <v>89.88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4.92</v>
      </c>
      <c r="BC47">
        <v>1</v>
      </c>
      <c r="BH47">
        <v>0</v>
      </c>
      <c r="BI47">
        <v>4</v>
      </c>
      <c r="BJ47" t="s">
        <v>115</v>
      </c>
      <c r="BM47">
        <v>1113</v>
      </c>
      <c r="BN47">
        <v>0</v>
      </c>
      <c r="BO47" t="s">
        <v>113</v>
      </c>
      <c r="BP47">
        <v>1</v>
      </c>
      <c r="BQ47">
        <v>150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0</v>
      </c>
      <c r="CA47">
        <v>0</v>
      </c>
      <c r="CF47">
        <v>0</v>
      </c>
      <c r="CG47">
        <v>0</v>
      </c>
      <c r="CM47">
        <v>0</v>
      </c>
      <c r="CO47">
        <v>0</v>
      </c>
      <c r="CP47">
        <f t="shared" si="14"/>
        <v>8408.62</v>
      </c>
      <c r="CQ47">
        <f t="shared" si="15"/>
        <v>0</v>
      </c>
      <c r="CR47">
        <f t="shared" si="16"/>
        <v>442.20959999999997</v>
      </c>
      <c r="CS47">
        <f t="shared" si="17"/>
        <v>0</v>
      </c>
      <c r="CT47">
        <f t="shared" si="18"/>
        <v>0</v>
      </c>
      <c r="CU47">
        <f t="shared" si="19"/>
        <v>0</v>
      </c>
      <c r="CV47">
        <f t="shared" si="20"/>
        <v>0</v>
      </c>
      <c r="CW47">
        <f t="shared" si="21"/>
        <v>0</v>
      </c>
      <c r="CX47">
        <f t="shared" si="22"/>
        <v>0</v>
      </c>
      <c r="CY47">
        <f t="shared" si="23"/>
        <v>0</v>
      </c>
      <c r="CZ47">
        <f t="shared" si="24"/>
        <v>0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1009</v>
      </c>
      <c r="DV47" t="s">
        <v>44</v>
      </c>
      <c r="DW47" t="s">
        <v>44</v>
      </c>
      <c r="DX47">
        <v>1000</v>
      </c>
      <c r="EE47">
        <v>22378099</v>
      </c>
      <c r="EF47">
        <v>150</v>
      </c>
      <c r="EG47" t="s">
        <v>116</v>
      </c>
      <c r="EH47">
        <v>0</v>
      </c>
      <c r="EJ47">
        <v>4</v>
      </c>
      <c r="EK47">
        <v>1113</v>
      </c>
      <c r="EL47" t="s">
        <v>117</v>
      </c>
      <c r="EM47" t="s">
        <v>118</v>
      </c>
      <c r="EQ47">
        <v>0</v>
      </c>
      <c r="ER47">
        <v>89.88</v>
      </c>
      <c r="ES47">
        <v>0</v>
      </c>
      <c r="ET47">
        <v>89.88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Q47">
        <v>0</v>
      </c>
      <c r="FR47">
        <f t="shared" si="25"/>
        <v>0</v>
      </c>
      <c r="FS47">
        <v>0</v>
      </c>
      <c r="FX47">
        <v>0</v>
      </c>
      <c r="FY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</row>
    <row r="48" spans="1:194" ht="12.75">
      <c r="A48">
        <v>17</v>
      </c>
      <c r="B48">
        <v>1</v>
      </c>
      <c r="E48" t="s">
        <v>119</v>
      </c>
      <c r="F48" t="s">
        <v>120</v>
      </c>
      <c r="I48">
        <v>0</v>
      </c>
      <c r="J48">
        <v>0</v>
      </c>
      <c r="O48">
        <f t="shared" si="2"/>
        <v>0</v>
      </c>
      <c r="P48">
        <f t="shared" si="3"/>
        <v>0</v>
      </c>
      <c r="Q48">
        <f t="shared" si="4"/>
        <v>0</v>
      </c>
      <c r="R48">
        <f t="shared" si="5"/>
        <v>0</v>
      </c>
      <c r="S48">
        <f t="shared" si="6"/>
        <v>0</v>
      </c>
      <c r="T48">
        <f t="shared" si="7"/>
        <v>0</v>
      </c>
      <c r="U48">
        <f t="shared" si="8"/>
        <v>0</v>
      </c>
      <c r="V48">
        <f t="shared" si="9"/>
        <v>0</v>
      </c>
      <c r="W48">
        <f t="shared" si="10"/>
        <v>0</v>
      </c>
      <c r="X48">
        <f t="shared" si="11"/>
        <v>0</v>
      </c>
      <c r="Y48">
        <f t="shared" si="12"/>
        <v>0</v>
      </c>
      <c r="AA48">
        <v>0</v>
      </c>
      <c r="AB48">
        <f t="shared" si="13"/>
        <v>0</v>
      </c>
      <c r="AC48">
        <f t="shared" si="35"/>
        <v>0</v>
      </c>
      <c r="AD48">
        <f t="shared" si="35"/>
        <v>0</v>
      </c>
      <c r="AE48">
        <f t="shared" si="35"/>
        <v>0</v>
      </c>
      <c r="AF48">
        <f t="shared" si="35"/>
        <v>0</v>
      </c>
      <c r="AG48">
        <f>(AP48)</f>
        <v>0</v>
      </c>
      <c r="AH48">
        <f t="shared" si="36"/>
        <v>0</v>
      </c>
      <c r="AI48">
        <f t="shared" si="36"/>
        <v>0</v>
      </c>
      <c r="AJ48">
        <f>(AS48)</f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3</v>
      </c>
      <c r="BI48">
        <v>4</v>
      </c>
      <c r="BM48">
        <v>0</v>
      </c>
      <c r="BN48">
        <v>0</v>
      </c>
      <c r="BP48">
        <v>0</v>
      </c>
      <c r="BQ48">
        <v>0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0</v>
      </c>
      <c r="CA48">
        <v>0</v>
      </c>
      <c r="CF48">
        <v>0</v>
      </c>
      <c r="CG48">
        <v>0</v>
      </c>
      <c r="CM48">
        <v>0</v>
      </c>
      <c r="CO48">
        <v>0</v>
      </c>
      <c r="CP48">
        <f t="shared" si="14"/>
        <v>0</v>
      </c>
      <c r="CQ48">
        <f t="shared" si="15"/>
        <v>0</v>
      </c>
      <c r="CR48">
        <f t="shared" si="16"/>
        <v>0</v>
      </c>
      <c r="CS48">
        <f t="shared" si="17"/>
        <v>0</v>
      </c>
      <c r="CT48">
        <f t="shared" si="18"/>
        <v>0</v>
      </c>
      <c r="CU48">
        <f t="shared" si="19"/>
        <v>0</v>
      </c>
      <c r="CV48">
        <f t="shared" si="20"/>
        <v>0</v>
      </c>
      <c r="CW48">
        <f t="shared" si="21"/>
        <v>0</v>
      </c>
      <c r="CX48">
        <f t="shared" si="22"/>
        <v>0</v>
      </c>
      <c r="CY48">
        <f t="shared" si="23"/>
        <v>0</v>
      </c>
      <c r="CZ48">
        <f t="shared" si="24"/>
        <v>0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X48">
        <v>0</v>
      </c>
      <c r="EE48">
        <v>22376986</v>
      </c>
      <c r="EF48">
        <v>0</v>
      </c>
      <c r="EH48">
        <v>0</v>
      </c>
      <c r="EJ48">
        <v>4</v>
      </c>
      <c r="EK48">
        <v>0</v>
      </c>
      <c r="EL48" t="s">
        <v>121</v>
      </c>
      <c r="EM48" t="s">
        <v>122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Q48">
        <v>0</v>
      </c>
      <c r="FR48">
        <f t="shared" si="25"/>
        <v>0</v>
      </c>
      <c r="FS48">
        <v>0</v>
      </c>
      <c r="FX48">
        <v>0</v>
      </c>
      <c r="FY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1</v>
      </c>
      <c r="GL48">
        <v>0</v>
      </c>
    </row>
    <row r="50" spans="1:43" ht="12.75">
      <c r="A50" s="2">
        <v>51</v>
      </c>
      <c r="B50" s="2">
        <f>B20</f>
        <v>1</v>
      </c>
      <c r="C50" s="2">
        <f>A20</f>
        <v>3</v>
      </c>
      <c r="D50" s="2">
        <f>ROW(A20)</f>
        <v>20</v>
      </c>
      <c r="E50" s="2"/>
      <c r="F50" s="2" t="str">
        <f>IF(F20&lt;&gt;"",F20,"")</f>
        <v>Новая локальная смета</v>
      </c>
      <c r="G50" s="2" t="str">
        <f>IF(G20&lt;&gt;"",G20,"")</f>
        <v>Новая локальная смета</v>
      </c>
      <c r="H50" s="2"/>
      <c r="I50" s="2"/>
      <c r="J50" s="2"/>
      <c r="K50" s="2"/>
      <c r="L50" s="2"/>
      <c r="M50" s="2"/>
      <c r="N50" s="2"/>
      <c r="O50" s="2">
        <f aca="true" t="shared" si="37" ref="O50:Y50">ROUND(AB50,2)</f>
        <v>629213.74</v>
      </c>
      <c r="P50" s="2">
        <f t="shared" si="37"/>
        <v>403090.58</v>
      </c>
      <c r="Q50" s="2">
        <f t="shared" si="37"/>
        <v>31182</v>
      </c>
      <c r="R50" s="2">
        <f t="shared" si="37"/>
        <v>11769.47</v>
      </c>
      <c r="S50" s="2">
        <f t="shared" si="37"/>
        <v>194941.16</v>
      </c>
      <c r="T50" s="2">
        <f t="shared" si="37"/>
        <v>0</v>
      </c>
      <c r="U50" s="2">
        <f t="shared" si="37"/>
        <v>1132.14</v>
      </c>
      <c r="V50" s="2">
        <f t="shared" si="37"/>
        <v>0</v>
      </c>
      <c r="W50" s="2">
        <f t="shared" si="37"/>
        <v>0</v>
      </c>
      <c r="X50" s="2">
        <f t="shared" si="37"/>
        <v>173826.16</v>
      </c>
      <c r="Y50" s="2">
        <f t="shared" si="37"/>
        <v>85774.09</v>
      </c>
      <c r="Z50" s="2"/>
      <c r="AA50" s="2"/>
      <c r="AB50" s="2">
        <f>ROUND(SUMIF(AA24:AA48,"=0",O24:O48),2)</f>
        <v>629213.74</v>
      </c>
      <c r="AC50" s="2">
        <f>ROUND(SUMIF(AA24:AA48,"=0",P24:P48),2)</f>
        <v>403090.58</v>
      </c>
      <c r="AD50" s="2">
        <f>ROUND(SUMIF(AA24:AA48,"=0",Q24:Q48),2)</f>
        <v>31182</v>
      </c>
      <c r="AE50" s="2">
        <f>ROUND(SUMIF(AA24:AA48,"=0",R24:R48),2)</f>
        <v>11769.47</v>
      </c>
      <c r="AF50" s="2">
        <f>ROUND(SUMIF(AA24:AA48,"=0",S24:S48),2)</f>
        <v>194941.16</v>
      </c>
      <c r="AG50" s="2">
        <f>ROUND(SUMIF(AA24:AA48,"=0",T24:T48),2)</f>
        <v>0</v>
      </c>
      <c r="AH50" s="2">
        <f>ROUND(SUMIF(AA24:AA48,"=0",U24:U48),2)</f>
        <v>1132.14</v>
      </c>
      <c r="AI50" s="2">
        <f>ROUND(SUMIF(AA24:AA48,"=0",V24:V48),2)</f>
        <v>0</v>
      </c>
      <c r="AJ50" s="2">
        <f>ROUND(SUMIF(AA24:AA48,"=0",W24:W48),2)</f>
        <v>0</v>
      </c>
      <c r="AK50" s="2">
        <f>ROUND(SUMIF(AA24:AA48,"=0",X24:X48),2)</f>
        <v>173826.16</v>
      </c>
      <c r="AL50" s="2">
        <f>ROUND(SUMIF(AA24:AA48,"=0",Y24:Y48),2)</f>
        <v>85774.09</v>
      </c>
      <c r="AM50" s="2"/>
      <c r="AN50" s="2">
        <f>ROUND(AO50,2)</f>
        <v>0</v>
      </c>
      <c r="AO50" s="2">
        <f>ROUND(SUMIF(AA24:AA48,"=0",FQ24:FQ48),2)</f>
        <v>0</v>
      </c>
      <c r="AP50" s="2">
        <f>ROUND(AQ50,2)</f>
        <v>0</v>
      </c>
      <c r="AQ50" s="2">
        <f>ROUND(SUM(FR24:FR48),2)</f>
        <v>0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201</v>
      </c>
      <c r="F52" s="3">
        <f>Source!O50</f>
        <v>629213.74</v>
      </c>
      <c r="G52" s="3" t="s">
        <v>123</v>
      </c>
      <c r="H52" s="3" t="s">
        <v>124</v>
      </c>
      <c r="I52" s="3"/>
      <c r="J52" s="3"/>
      <c r="K52" s="3">
        <v>201</v>
      </c>
      <c r="L52" s="3">
        <v>1</v>
      </c>
      <c r="M52" s="3">
        <v>3</v>
      </c>
      <c r="N52" s="3" t="s">
        <v>6</v>
      </c>
    </row>
    <row r="53" spans="1:14" ht="12.75">
      <c r="A53" s="3">
        <v>50</v>
      </c>
      <c r="B53" s="3">
        <v>1</v>
      </c>
      <c r="C53" s="3">
        <v>0</v>
      </c>
      <c r="D53" s="3">
        <v>1</v>
      </c>
      <c r="E53" s="3">
        <v>202</v>
      </c>
      <c r="F53" s="3">
        <f>Source!P50</f>
        <v>403090.58</v>
      </c>
      <c r="G53" s="3" t="s">
        <v>125</v>
      </c>
      <c r="H53" s="3" t="s">
        <v>126</v>
      </c>
      <c r="I53" s="3"/>
      <c r="J53" s="3"/>
      <c r="K53" s="3">
        <v>202</v>
      </c>
      <c r="L53" s="3">
        <v>2</v>
      </c>
      <c r="M53" s="3">
        <v>0</v>
      </c>
      <c r="N53" s="3" t="s">
        <v>6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222</v>
      </c>
      <c r="F54" s="3">
        <f>Source!AN50</f>
        <v>0</v>
      </c>
      <c r="G54" s="3" t="s">
        <v>127</v>
      </c>
      <c r="H54" s="3" t="s">
        <v>128</v>
      </c>
      <c r="I54" s="3"/>
      <c r="J54" s="3"/>
      <c r="K54" s="3">
        <v>222</v>
      </c>
      <c r="L54" s="3">
        <v>3</v>
      </c>
      <c r="M54" s="3">
        <v>3</v>
      </c>
      <c r="N54" s="3" t="s">
        <v>6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216</v>
      </c>
      <c r="F55" s="3">
        <f>Source!AP50</f>
        <v>0</v>
      </c>
      <c r="G55" s="3" t="s">
        <v>129</v>
      </c>
      <c r="H55" s="3" t="s">
        <v>130</v>
      </c>
      <c r="I55" s="3"/>
      <c r="J55" s="3"/>
      <c r="K55" s="3">
        <v>216</v>
      </c>
      <c r="L55" s="3">
        <v>4</v>
      </c>
      <c r="M55" s="3">
        <v>3</v>
      </c>
      <c r="N55" s="3" t="s">
        <v>6</v>
      </c>
    </row>
    <row r="56" spans="1:14" ht="12.75">
      <c r="A56" s="3">
        <v>50</v>
      </c>
      <c r="B56" s="3">
        <v>1</v>
      </c>
      <c r="C56" s="3">
        <v>0</v>
      </c>
      <c r="D56" s="3">
        <v>1</v>
      </c>
      <c r="E56" s="3">
        <v>203</v>
      </c>
      <c r="F56" s="3">
        <f>Source!Q50</f>
        <v>31182</v>
      </c>
      <c r="G56" s="3" t="s">
        <v>131</v>
      </c>
      <c r="H56" s="3" t="s">
        <v>132</v>
      </c>
      <c r="I56" s="3"/>
      <c r="J56" s="3"/>
      <c r="K56" s="3">
        <v>203</v>
      </c>
      <c r="L56" s="3">
        <v>5</v>
      </c>
      <c r="M56" s="3">
        <v>0</v>
      </c>
      <c r="N56" s="3" t="s">
        <v>6</v>
      </c>
    </row>
    <row r="57" spans="1:14" ht="12.75">
      <c r="A57" s="3">
        <v>50</v>
      </c>
      <c r="B57" s="3">
        <v>1</v>
      </c>
      <c r="C57" s="3">
        <v>0</v>
      </c>
      <c r="D57" s="3">
        <v>1</v>
      </c>
      <c r="E57" s="3">
        <v>204</v>
      </c>
      <c r="F57" s="3">
        <f>Source!R50</f>
        <v>11769.47</v>
      </c>
      <c r="G57" s="3" t="s">
        <v>133</v>
      </c>
      <c r="H57" s="3" t="s">
        <v>134</v>
      </c>
      <c r="I57" s="3"/>
      <c r="J57" s="3"/>
      <c r="K57" s="3">
        <v>204</v>
      </c>
      <c r="L57" s="3">
        <v>6</v>
      </c>
      <c r="M57" s="3">
        <v>0</v>
      </c>
      <c r="N57" s="3" t="s">
        <v>6</v>
      </c>
    </row>
    <row r="58" spans="1:14" ht="12.75">
      <c r="A58" s="3">
        <v>50</v>
      </c>
      <c r="B58" s="3">
        <v>1</v>
      </c>
      <c r="C58" s="3">
        <v>0</v>
      </c>
      <c r="D58" s="3">
        <v>1</v>
      </c>
      <c r="E58" s="3">
        <v>205</v>
      </c>
      <c r="F58" s="3">
        <f>Source!S50</f>
        <v>194941.16</v>
      </c>
      <c r="G58" s="3" t="s">
        <v>135</v>
      </c>
      <c r="H58" s="3" t="s">
        <v>136</v>
      </c>
      <c r="I58" s="3"/>
      <c r="J58" s="3"/>
      <c r="K58" s="3">
        <v>205</v>
      </c>
      <c r="L58" s="3">
        <v>7</v>
      </c>
      <c r="M58" s="3">
        <v>0</v>
      </c>
      <c r="N58" s="3" t="s">
        <v>6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206</v>
      </c>
      <c r="F59" s="3">
        <f>Source!T50</f>
        <v>0</v>
      </c>
      <c r="G59" s="3" t="s">
        <v>137</v>
      </c>
      <c r="H59" s="3" t="s">
        <v>138</v>
      </c>
      <c r="I59" s="3"/>
      <c r="J59" s="3"/>
      <c r="K59" s="3">
        <v>206</v>
      </c>
      <c r="L59" s="3">
        <v>8</v>
      </c>
      <c r="M59" s="3">
        <v>3</v>
      </c>
      <c r="N59" s="3" t="s">
        <v>6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207</v>
      </c>
      <c r="F60" s="3">
        <f>Source!U50</f>
        <v>1132.14</v>
      </c>
      <c r="G60" s="3" t="s">
        <v>139</v>
      </c>
      <c r="H60" s="3" t="s">
        <v>140</v>
      </c>
      <c r="I60" s="3"/>
      <c r="J60" s="3"/>
      <c r="K60" s="3">
        <v>207</v>
      </c>
      <c r="L60" s="3">
        <v>9</v>
      </c>
      <c r="M60" s="3">
        <v>3</v>
      </c>
      <c r="N60" s="3" t="s">
        <v>6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208</v>
      </c>
      <c r="F61" s="3">
        <f>Source!V50</f>
        <v>0</v>
      </c>
      <c r="G61" s="3" t="s">
        <v>141</v>
      </c>
      <c r="H61" s="3" t="s">
        <v>142</v>
      </c>
      <c r="I61" s="3"/>
      <c r="J61" s="3"/>
      <c r="K61" s="3">
        <v>208</v>
      </c>
      <c r="L61" s="3">
        <v>10</v>
      </c>
      <c r="M61" s="3">
        <v>3</v>
      </c>
      <c r="N61" s="3" t="s">
        <v>6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209</v>
      </c>
      <c r="F62" s="3">
        <f>Source!W50</f>
        <v>0</v>
      </c>
      <c r="G62" s="3" t="s">
        <v>143</v>
      </c>
      <c r="H62" s="3" t="s">
        <v>144</v>
      </c>
      <c r="I62" s="3"/>
      <c r="J62" s="3"/>
      <c r="K62" s="3">
        <v>209</v>
      </c>
      <c r="L62" s="3">
        <v>11</v>
      </c>
      <c r="M62" s="3">
        <v>3</v>
      </c>
      <c r="N62" s="3" t="s">
        <v>6</v>
      </c>
    </row>
    <row r="63" spans="1:14" ht="12.75">
      <c r="A63" s="3">
        <v>50</v>
      </c>
      <c r="B63" s="3">
        <v>1</v>
      </c>
      <c r="C63" s="3">
        <v>0</v>
      </c>
      <c r="D63" s="3">
        <v>1</v>
      </c>
      <c r="E63" s="3">
        <v>210</v>
      </c>
      <c r="F63" s="3">
        <f>Source!X50</f>
        <v>173826.16</v>
      </c>
      <c r="G63" s="3" t="s">
        <v>145</v>
      </c>
      <c r="H63" s="3" t="s">
        <v>146</v>
      </c>
      <c r="I63" s="3"/>
      <c r="J63" s="3"/>
      <c r="K63" s="3">
        <v>210</v>
      </c>
      <c r="L63" s="3">
        <v>12</v>
      </c>
      <c r="M63" s="3">
        <v>0</v>
      </c>
      <c r="N63" s="3" t="s">
        <v>6</v>
      </c>
    </row>
    <row r="64" spans="1:14" ht="12.75">
      <c r="A64" s="3">
        <v>50</v>
      </c>
      <c r="B64" s="3">
        <v>1</v>
      </c>
      <c r="C64" s="3">
        <v>0</v>
      </c>
      <c r="D64" s="3">
        <v>1</v>
      </c>
      <c r="E64" s="3">
        <v>211</v>
      </c>
      <c r="F64" s="3">
        <f>Source!Y50</f>
        <v>85774.09</v>
      </c>
      <c r="G64" s="3" t="s">
        <v>147</v>
      </c>
      <c r="H64" s="3" t="s">
        <v>148</v>
      </c>
      <c r="I64" s="3"/>
      <c r="J64" s="3"/>
      <c r="K64" s="3">
        <v>211</v>
      </c>
      <c r="L64" s="3">
        <v>13</v>
      </c>
      <c r="M64" s="3">
        <v>0</v>
      </c>
      <c r="N64" s="3" t="s">
        <v>6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ROUND(Source!F52+Source!F63+Source!F64,2)</f>
        <v>888813.99</v>
      </c>
      <c r="G65" s="3" t="s">
        <v>149</v>
      </c>
      <c r="H65" s="3" t="s">
        <v>149</v>
      </c>
      <c r="I65" s="3"/>
      <c r="J65" s="3"/>
      <c r="K65" s="3">
        <v>212</v>
      </c>
      <c r="L65" s="3">
        <v>14</v>
      </c>
      <c r="M65" s="3">
        <v>0</v>
      </c>
      <c r="N65" s="3" t="s">
        <v>6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0</v>
      </c>
      <c r="F66" s="3">
        <f>ROUND(Source!F65*0.18,2)</f>
        <v>159986.52</v>
      </c>
      <c r="G66" s="3" t="s">
        <v>150</v>
      </c>
      <c r="H66" s="3" t="s">
        <v>151</v>
      </c>
      <c r="I66" s="3"/>
      <c r="J66" s="3"/>
      <c r="K66" s="3">
        <v>212</v>
      </c>
      <c r="L66" s="3">
        <v>15</v>
      </c>
      <c r="M66" s="3">
        <v>0</v>
      </c>
      <c r="N66" s="3" t="s">
        <v>6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ROUND(Source!F65+Source!F66,2)</f>
        <v>1048800.51</v>
      </c>
      <c r="G67" s="3" t="s">
        <v>152</v>
      </c>
      <c r="H67" s="3" t="s">
        <v>153</v>
      </c>
      <c r="I67" s="3"/>
      <c r="J67" s="3"/>
      <c r="K67" s="3">
        <v>212</v>
      </c>
      <c r="L67" s="3">
        <v>16</v>
      </c>
      <c r="M67" s="3">
        <v>0</v>
      </c>
      <c r="N67" s="3" t="s">
        <v>6</v>
      </c>
    </row>
    <row r="69" spans="1:43" ht="12.75">
      <c r="A69" s="2">
        <v>51</v>
      </c>
      <c r="B69" s="2">
        <f>B12</f>
        <v>1</v>
      </c>
      <c r="C69" s="2">
        <f>A12</f>
        <v>1</v>
      </c>
      <c r="D69" s="2">
        <f>ROW(A12)</f>
        <v>12</v>
      </c>
      <c r="E69" s="2"/>
      <c r="F69" s="2" t="str">
        <f>IF(F12&lt;&gt;"",F12,"")</f>
        <v>Новый объект</v>
      </c>
      <c r="G69" s="2" t="str">
        <f>IF(G12&lt;&gt;"",G12,"")</f>
        <v>Библиотека №133</v>
      </c>
      <c r="H69" s="2"/>
      <c r="I69" s="2"/>
      <c r="J69" s="2"/>
      <c r="K69" s="2"/>
      <c r="L69" s="2"/>
      <c r="M69" s="2"/>
      <c r="N69" s="2"/>
      <c r="O69" s="2">
        <f aca="true" t="shared" si="38" ref="O69:Y69">ROUND(O50,2)</f>
        <v>629213.74</v>
      </c>
      <c r="P69" s="2">
        <f t="shared" si="38"/>
        <v>403090.58</v>
      </c>
      <c r="Q69" s="2">
        <f t="shared" si="38"/>
        <v>31182</v>
      </c>
      <c r="R69" s="2">
        <f t="shared" si="38"/>
        <v>11769.47</v>
      </c>
      <c r="S69" s="2">
        <f t="shared" si="38"/>
        <v>194941.16</v>
      </c>
      <c r="T69" s="2">
        <f t="shared" si="38"/>
        <v>0</v>
      </c>
      <c r="U69" s="2">
        <f t="shared" si="38"/>
        <v>1132.14</v>
      </c>
      <c r="V69" s="2">
        <f t="shared" si="38"/>
        <v>0</v>
      </c>
      <c r="W69" s="2">
        <f t="shared" si="38"/>
        <v>0</v>
      </c>
      <c r="X69" s="2">
        <f t="shared" si="38"/>
        <v>173826.16</v>
      </c>
      <c r="Y69" s="2">
        <f t="shared" si="38"/>
        <v>85774.09</v>
      </c>
      <c r="Z69" s="2"/>
      <c r="AA69" s="2"/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/>
      <c r="AN69" s="2">
        <f>ROUND(AN50,2)</f>
        <v>0</v>
      </c>
      <c r="AO69" s="2">
        <v>0</v>
      </c>
      <c r="AP69" s="2">
        <f>ROUND(AP50,2)</f>
        <v>0</v>
      </c>
      <c r="AQ69" s="2">
        <v>0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201</v>
      </c>
      <c r="F71" s="3">
        <f>Source!O69</f>
        <v>629213.74</v>
      </c>
      <c r="G71" s="3" t="s">
        <v>123</v>
      </c>
      <c r="H71" s="3" t="s">
        <v>124</v>
      </c>
      <c r="I71" s="3"/>
      <c r="J71" s="3"/>
      <c r="K71" s="3">
        <v>201</v>
      </c>
      <c r="L71" s="3">
        <v>1</v>
      </c>
      <c r="M71" s="3">
        <v>3</v>
      </c>
      <c r="N71" s="3" t="s">
        <v>6</v>
      </c>
    </row>
    <row r="72" spans="1:14" ht="12.75">
      <c r="A72" s="3">
        <v>50</v>
      </c>
      <c r="B72" s="3">
        <v>1</v>
      </c>
      <c r="C72" s="3">
        <v>0</v>
      </c>
      <c r="D72" s="3">
        <v>1</v>
      </c>
      <c r="E72" s="3">
        <v>202</v>
      </c>
      <c r="F72" s="3">
        <f>Source!P69</f>
        <v>403090.58</v>
      </c>
      <c r="G72" s="3" t="s">
        <v>125</v>
      </c>
      <c r="H72" s="3" t="s">
        <v>126</v>
      </c>
      <c r="I72" s="3"/>
      <c r="J72" s="3"/>
      <c r="K72" s="3">
        <v>202</v>
      </c>
      <c r="L72" s="3">
        <v>2</v>
      </c>
      <c r="M72" s="3">
        <v>0</v>
      </c>
      <c r="N72" s="3" t="s">
        <v>6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222</v>
      </c>
      <c r="F73" s="3">
        <f>Source!AN69</f>
        <v>0</v>
      </c>
      <c r="G73" s="3" t="s">
        <v>127</v>
      </c>
      <c r="H73" s="3" t="s">
        <v>128</v>
      </c>
      <c r="I73" s="3"/>
      <c r="J73" s="3"/>
      <c r="K73" s="3">
        <v>222</v>
      </c>
      <c r="L73" s="3">
        <v>3</v>
      </c>
      <c r="M73" s="3">
        <v>3</v>
      </c>
      <c r="N73" s="3" t="s">
        <v>6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216</v>
      </c>
      <c r="F74" s="3">
        <f>Source!AP69</f>
        <v>0</v>
      </c>
      <c r="G74" s="3" t="s">
        <v>129</v>
      </c>
      <c r="H74" s="3" t="s">
        <v>130</v>
      </c>
      <c r="I74" s="3"/>
      <c r="J74" s="3"/>
      <c r="K74" s="3">
        <v>216</v>
      </c>
      <c r="L74" s="3">
        <v>4</v>
      </c>
      <c r="M74" s="3">
        <v>3</v>
      </c>
      <c r="N74" s="3" t="s">
        <v>6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203</v>
      </c>
      <c r="F75" s="3">
        <f>Source!Q69</f>
        <v>31182</v>
      </c>
      <c r="G75" s="3" t="s">
        <v>131</v>
      </c>
      <c r="H75" s="3" t="s">
        <v>132</v>
      </c>
      <c r="I75" s="3"/>
      <c r="J75" s="3"/>
      <c r="K75" s="3">
        <v>203</v>
      </c>
      <c r="L75" s="3">
        <v>5</v>
      </c>
      <c r="M75" s="3">
        <v>3</v>
      </c>
      <c r="N75" s="3" t="s">
        <v>6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204</v>
      </c>
      <c r="F76" s="3">
        <f>Source!R69</f>
        <v>11769.47</v>
      </c>
      <c r="G76" s="3" t="s">
        <v>133</v>
      </c>
      <c r="H76" s="3" t="s">
        <v>134</v>
      </c>
      <c r="I76" s="3"/>
      <c r="J76" s="3"/>
      <c r="K76" s="3">
        <v>204</v>
      </c>
      <c r="L76" s="3">
        <v>6</v>
      </c>
      <c r="M76" s="3">
        <v>3</v>
      </c>
      <c r="N76" s="3" t="s">
        <v>6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205</v>
      </c>
      <c r="F77" s="3">
        <f>Source!S69</f>
        <v>194941.16</v>
      </c>
      <c r="G77" s="3" t="s">
        <v>135</v>
      </c>
      <c r="H77" s="3" t="s">
        <v>136</v>
      </c>
      <c r="I77" s="3"/>
      <c r="J77" s="3"/>
      <c r="K77" s="3">
        <v>205</v>
      </c>
      <c r="L77" s="3">
        <v>7</v>
      </c>
      <c r="M77" s="3">
        <v>3</v>
      </c>
      <c r="N77" s="3" t="s">
        <v>6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206</v>
      </c>
      <c r="F78" s="3">
        <f>Source!T69</f>
        <v>0</v>
      </c>
      <c r="G78" s="3" t="s">
        <v>137</v>
      </c>
      <c r="H78" s="3" t="s">
        <v>138</v>
      </c>
      <c r="I78" s="3"/>
      <c r="J78" s="3"/>
      <c r="K78" s="3">
        <v>206</v>
      </c>
      <c r="L78" s="3">
        <v>8</v>
      </c>
      <c r="M78" s="3">
        <v>3</v>
      </c>
      <c r="N78" s="3" t="s">
        <v>6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207</v>
      </c>
      <c r="F79" s="3">
        <f>Source!U69</f>
        <v>1132.14</v>
      </c>
      <c r="G79" s="3" t="s">
        <v>139</v>
      </c>
      <c r="H79" s="3" t="s">
        <v>140</v>
      </c>
      <c r="I79" s="3"/>
      <c r="J79" s="3"/>
      <c r="K79" s="3">
        <v>207</v>
      </c>
      <c r="L79" s="3">
        <v>9</v>
      </c>
      <c r="M79" s="3">
        <v>3</v>
      </c>
      <c r="N79" s="3" t="s">
        <v>6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208</v>
      </c>
      <c r="F80" s="3">
        <f>Source!V69</f>
        <v>0</v>
      </c>
      <c r="G80" s="3" t="s">
        <v>141</v>
      </c>
      <c r="H80" s="3" t="s">
        <v>142</v>
      </c>
      <c r="I80" s="3"/>
      <c r="J80" s="3"/>
      <c r="K80" s="3">
        <v>208</v>
      </c>
      <c r="L80" s="3">
        <v>10</v>
      </c>
      <c r="M80" s="3">
        <v>3</v>
      </c>
      <c r="N80" s="3" t="s">
        <v>6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209</v>
      </c>
      <c r="F81" s="3">
        <f>Source!W69</f>
        <v>0</v>
      </c>
      <c r="G81" s="3" t="s">
        <v>143</v>
      </c>
      <c r="H81" s="3" t="s">
        <v>144</v>
      </c>
      <c r="I81" s="3"/>
      <c r="J81" s="3"/>
      <c r="K81" s="3">
        <v>209</v>
      </c>
      <c r="L81" s="3">
        <v>11</v>
      </c>
      <c r="M81" s="3">
        <v>3</v>
      </c>
      <c r="N81" s="3" t="s">
        <v>6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210</v>
      </c>
      <c r="F82" s="3">
        <f>Source!X69</f>
        <v>173826.16</v>
      </c>
      <c r="G82" s="3" t="s">
        <v>145</v>
      </c>
      <c r="H82" s="3" t="s">
        <v>146</v>
      </c>
      <c r="I82" s="3"/>
      <c r="J82" s="3"/>
      <c r="K82" s="3">
        <v>210</v>
      </c>
      <c r="L82" s="3">
        <v>12</v>
      </c>
      <c r="M82" s="3">
        <v>3</v>
      </c>
      <c r="N82" s="3" t="s">
        <v>6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211</v>
      </c>
      <c r="F83" s="3">
        <f>Source!Y69</f>
        <v>85774.09</v>
      </c>
      <c r="G83" s="3" t="s">
        <v>147</v>
      </c>
      <c r="H83" s="3" t="s">
        <v>148</v>
      </c>
      <c r="I83" s="3"/>
      <c r="J83" s="3"/>
      <c r="K83" s="3">
        <v>211</v>
      </c>
      <c r="L83" s="3">
        <v>13</v>
      </c>
      <c r="M83" s="3">
        <v>3</v>
      </c>
      <c r="N83" s="3" t="s">
        <v>6</v>
      </c>
    </row>
    <row r="87" spans="1:5" ht="12.75">
      <c r="A87">
        <v>65</v>
      </c>
      <c r="C87">
        <v>1</v>
      </c>
      <c r="D87">
        <v>0</v>
      </c>
      <c r="E87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59"/>
  <sheetViews>
    <sheetView zoomScalePageLayoutView="0" workbookViewId="0" topLeftCell="A22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23486419</v>
      </c>
      <c r="C1">
        <v>23485626</v>
      </c>
      <c r="D1">
        <v>11474139</v>
      </c>
      <c r="E1">
        <v>10962768</v>
      </c>
      <c r="F1">
        <v>1</v>
      </c>
      <c r="G1">
        <v>10962768</v>
      </c>
      <c r="H1">
        <v>1</v>
      </c>
      <c r="I1" t="s">
        <v>154</v>
      </c>
      <c r="K1" t="s">
        <v>155</v>
      </c>
      <c r="L1">
        <v>1191</v>
      </c>
      <c r="N1">
        <v>1013</v>
      </c>
      <c r="O1" t="s">
        <v>156</v>
      </c>
      <c r="P1" t="s">
        <v>156</v>
      </c>
      <c r="Q1">
        <v>1</v>
      </c>
      <c r="Y1">
        <v>82.4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1</v>
      </c>
      <c r="AQ1">
        <v>0</v>
      </c>
      <c r="AR1">
        <v>0</v>
      </c>
      <c r="AT1">
        <v>103</v>
      </c>
      <c r="AU1" t="s">
        <v>22</v>
      </c>
      <c r="AV1">
        <v>1</v>
      </c>
      <c r="AW1">
        <v>2</v>
      </c>
      <c r="AX1">
        <v>23486419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23486420</v>
      </c>
      <c r="C2">
        <v>23485626</v>
      </c>
      <c r="D2">
        <v>11555019</v>
      </c>
      <c r="E2">
        <v>1</v>
      </c>
      <c r="F2">
        <v>1</v>
      </c>
      <c r="G2">
        <v>10962768</v>
      </c>
      <c r="H2">
        <v>3</v>
      </c>
      <c r="I2" t="s">
        <v>157</v>
      </c>
      <c r="J2" t="s">
        <v>158</v>
      </c>
      <c r="K2" t="s">
        <v>159</v>
      </c>
      <c r="L2">
        <v>1339</v>
      </c>
      <c r="N2">
        <v>1007</v>
      </c>
      <c r="O2" t="s">
        <v>85</v>
      </c>
      <c r="P2" t="s">
        <v>85</v>
      </c>
      <c r="Q2">
        <v>1</v>
      </c>
      <c r="Y2">
        <v>0</v>
      </c>
      <c r="AA2">
        <v>451.14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3.3</v>
      </c>
      <c r="AU2" t="s">
        <v>21</v>
      </c>
      <c r="AV2">
        <v>0</v>
      </c>
      <c r="AW2">
        <v>2</v>
      </c>
      <c r="AX2">
        <v>23486420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23486421</v>
      </c>
      <c r="C3">
        <v>23485626</v>
      </c>
      <c r="D3">
        <v>11499496</v>
      </c>
      <c r="E3">
        <v>10962768</v>
      </c>
      <c r="F3">
        <v>1</v>
      </c>
      <c r="G3">
        <v>10962768</v>
      </c>
      <c r="H3">
        <v>3</v>
      </c>
      <c r="I3" t="s">
        <v>160</v>
      </c>
      <c r="K3" t="s">
        <v>161</v>
      </c>
      <c r="L3">
        <v>1354</v>
      </c>
      <c r="N3">
        <v>1010</v>
      </c>
      <c r="O3" t="s">
        <v>93</v>
      </c>
      <c r="P3" t="s">
        <v>93</v>
      </c>
      <c r="Q3">
        <v>1</v>
      </c>
      <c r="Y3">
        <v>0</v>
      </c>
      <c r="AA3">
        <v>0</v>
      </c>
      <c r="AB3">
        <v>0</v>
      </c>
      <c r="AC3">
        <v>0</v>
      </c>
      <c r="AD3">
        <v>0</v>
      </c>
      <c r="AN3">
        <v>0</v>
      </c>
      <c r="AO3">
        <v>0</v>
      </c>
      <c r="AP3">
        <v>1</v>
      </c>
      <c r="AQ3">
        <v>0</v>
      </c>
      <c r="AR3">
        <v>0</v>
      </c>
      <c r="AT3">
        <v>100</v>
      </c>
      <c r="AU3" t="s">
        <v>21</v>
      </c>
      <c r="AV3">
        <v>0</v>
      </c>
      <c r="AW3">
        <v>2</v>
      </c>
      <c r="AX3">
        <v>23486421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ROW(Source!A25)</f>
        <v>25</v>
      </c>
      <c r="B4">
        <v>23486423</v>
      </c>
      <c r="C4">
        <v>23485631</v>
      </c>
      <c r="D4">
        <v>11474139</v>
      </c>
      <c r="E4">
        <v>10962768</v>
      </c>
      <c r="F4">
        <v>1</v>
      </c>
      <c r="G4">
        <v>10962768</v>
      </c>
      <c r="H4">
        <v>1</v>
      </c>
      <c r="I4" t="s">
        <v>154</v>
      </c>
      <c r="K4" t="s">
        <v>155</v>
      </c>
      <c r="L4">
        <v>1191</v>
      </c>
      <c r="N4">
        <v>1013</v>
      </c>
      <c r="O4" t="s">
        <v>156</v>
      </c>
      <c r="P4" t="s">
        <v>156</v>
      </c>
      <c r="Q4">
        <v>1</v>
      </c>
      <c r="Y4">
        <v>17.41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17.41</v>
      </c>
      <c r="AV4">
        <v>1</v>
      </c>
      <c r="AW4">
        <v>2</v>
      </c>
      <c r="AX4">
        <v>23486423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ROW(Source!A25)</f>
        <v>25</v>
      </c>
      <c r="B5">
        <v>23486424</v>
      </c>
      <c r="C5">
        <v>23485631</v>
      </c>
      <c r="D5">
        <v>11500203</v>
      </c>
      <c r="E5">
        <v>10962768</v>
      </c>
      <c r="F5">
        <v>1</v>
      </c>
      <c r="G5">
        <v>10962768</v>
      </c>
      <c r="H5">
        <v>3</v>
      </c>
      <c r="I5" t="s">
        <v>162</v>
      </c>
      <c r="K5" t="s">
        <v>163</v>
      </c>
      <c r="L5">
        <v>1348</v>
      </c>
      <c r="N5">
        <v>1009</v>
      </c>
      <c r="O5" t="s">
        <v>44</v>
      </c>
      <c r="P5" t="s">
        <v>44</v>
      </c>
      <c r="Q5">
        <v>1000</v>
      </c>
      <c r="Y5">
        <v>1.02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1.02</v>
      </c>
      <c r="AV5">
        <v>0</v>
      </c>
      <c r="AW5">
        <v>2</v>
      </c>
      <c r="AX5">
        <v>23486424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ROW(Source!A26)</f>
        <v>26</v>
      </c>
      <c r="B6">
        <v>23486425</v>
      </c>
      <c r="C6">
        <v>23485636</v>
      </c>
      <c r="D6">
        <v>11474139</v>
      </c>
      <c r="E6">
        <v>10962768</v>
      </c>
      <c r="F6">
        <v>1</v>
      </c>
      <c r="G6">
        <v>10962768</v>
      </c>
      <c r="H6">
        <v>1</v>
      </c>
      <c r="I6" t="s">
        <v>154</v>
      </c>
      <c r="K6" t="s">
        <v>155</v>
      </c>
      <c r="L6">
        <v>1191</v>
      </c>
      <c r="N6">
        <v>1013</v>
      </c>
      <c r="O6" t="s">
        <v>156</v>
      </c>
      <c r="P6" t="s">
        <v>156</v>
      </c>
      <c r="Q6">
        <v>1</v>
      </c>
      <c r="Y6">
        <v>45.45</v>
      </c>
      <c r="AA6">
        <v>0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45.45</v>
      </c>
      <c r="AV6">
        <v>1</v>
      </c>
      <c r="AW6">
        <v>2</v>
      </c>
      <c r="AX6">
        <v>23486425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ROW(Source!A26)</f>
        <v>26</v>
      </c>
      <c r="B7">
        <v>23486428</v>
      </c>
      <c r="C7">
        <v>23485636</v>
      </c>
      <c r="D7">
        <v>11500203</v>
      </c>
      <c r="E7">
        <v>10962768</v>
      </c>
      <c r="F7">
        <v>1</v>
      </c>
      <c r="G7">
        <v>10962768</v>
      </c>
      <c r="H7">
        <v>3</v>
      </c>
      <c r="I7" t="s">
        <v>162</v>
      </c>
      <c r="K7" t="s">
        <v>163</v>
      </c>
      <c r="L7">
        <v>1348</v>
      </c>
      <c r="N7">
        <v>1009</v>
      </c>
      <c r="O7" t="s">
        <v>44</v>
      </c>
      <c r="P7" t="s">
        <v>44</v>
      </c>
      <c r="Q7">
        <v>1000</v>
      </c>
      <c r="Y7">
        <v>0.162</v>
      </c>
      <c r="AA7">
        <v>0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0.162</v>
      </c>
      <c r="AV7">
        <v>0</v>
      </c>
      <c r="AW7">
        <v>2</v>
      </c>
      <c r="AX7">
        <v>23486428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ROW(Source!A26)</f>
        <v>26</v>
      </c>
      <c r="B8">
        <v>23486426</v>
      </c>
      <c r="C8">
        <v>23485636</v>
      </c>
      <c r="D8">
        <v>15379534</v>
      </c>
      <c r="E8">
        <v>1</v>
      </c>
      <c r="F8">
        <v>1</v>
      </c>
      <c r="G8">
        <v>10962768</v>
      </c>
      <c r="H8">
        <v>3</v>
      </c>
      <c r="I8" t="s">
        <v>42</v>
      </c>
      <c r="J8" t="s">
        <v>45</v>
      </c>
      <c r="K8" t="s">
        <v>43</v>
      </c>
      <c r="L8">
        <v>1348</v>
      </c>
      <c r="N8">
        <v>1009</v>
      </c>
      <c r="O8" t="s">
        <v>44</v>
      </c>
      <c r="P8" t="s">
        <v>44</v>
      </c>
      <c r="Q8">
        <v>1000</v>
      </c>
      <c r="Y8">
        <v>0.136364</v>
      </c>
      <c r="AA8">
        <v>15328.48</v>
      </c>
      <c r="AB8">
        <v>0</v>
      </c>
      <c r="AC8">
        <v>0</v>
      </c>
      <c r="AD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0.136364</v>
      </c>
      <c r="AV8">
        <v>0</v>
      </c>
      <c r="AW8">
        <v>1</v>
      </c>
      <c r="AX8">
        <v>-1</v>
      </c>
      <c r="AY8">
        <v>0</v>
      </c>
      <c r="AZ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ROW(Source!A26)</f>
        <v>26</v>
      </c>
      <c r="B9">
        <v>23486427</v>
      </c>
      <c r="C9">
        <v>23485636</v>
      </c>
      <c r="D9">
        <v>15378653</v>
      </c>
      <c r="E9">
        <v>1</v>
      </c>
      <c r="F9">
        <v>1</v>
      </c>
      <c r="G9">
        <v>10962768</v>
      </c>
      <c r="H9">
        <v>3</v>
      </c>
      <c r="I9" t="s">
        <v>164</v>
      </c>
      <c r="J9" t="s">
        <v>165</v>
      </c>
      <c r="K9" t="s">
        <v>166</v>
      </c>
      <c r="L9">
        <v>1348</v>
      </c>
      <c r="N9">
        <v>1009</v>
      </c>
      <c r="O9" t="s">
        <v>44</v>
      </c>
      <c r="P9" t="s">
        <v>44</v>
      </c>
      <c r="Q9">
        <v>1000</v>
      </c>
      <c r="Y9">
        <v>0.004</v>
      </c>
      <c r="AA9">
        <v>6521.42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0.004</v>
      </c>
      <c r="AV9">
        <v>0</v>
      </c>
      <c r="AW9">
        <v>2</v>
      </c>
      <c r="AX9">
        <v>23486427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ROW(Source!A28)</f>
        <v>28</v>
      </c>
      <c r="B10">
        <v>23486430</v>
      </c>
      <c r="C10">
        <v>23485647</v>
      </c>
      <c r="D10">
        <v>11474139</v>
      </c>
      <c r="E10">
        <v>10962768</v>
      </c>
      <c r="F10">
        <v>1</v>
      </c>
      <c r="G10">
        <v>10962768</v>
      </c>
      <c r="H10">
        <v>1</v>
      </c>
      <c r="I10" t="s">
        <v>154</v>
      </c>
      <c r="K10" t="s">
        <v>155</v>
      </c>
      <c r="L10">
        <v>1191</v>
      </c>
      <c r="N10">
        <v>1013</v>
      </c>
      <c r="O10" t="s">
        <v>156</v>
      </c>
      <c r="P10" t="s">
        <v>156</v>
      </c>
      <c r="Q10">
        <v>1</v>
      </c>
      <c r="Y10">
        <v>17.41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17.41</v>
      </c>
      <c r="AV10">
        <v>1</v>
      </c>
      <c r="AW10">
        <v>2</v>
      </c>
      <c r="AX10">
        <v>23486430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ROW(Source!A28)</f>
        <v>28</v>
      </c>
      <c r="B11">
        <v>23486431</v>
      </c>
      <c r="C11">
        <v>23485647</v>
      </c>
      <c r="D11">
        <v>11500203</v>
      </c>
      <c r="E11">
        <v>10962768</v>
      </c>
      <c r="F11">
        <v>1</v>
      </c>
      <c r="G11">
        <v>10962768</v>
      </c>
      <c r="H11">
        <v>3</v>
      </c>
      <c r="I11" t="s">
        <v>162</v>
      </c>
      <c r="K11" t="s">
        <v>163</v>
      </c>
      <c r="L11">
        <v>1348</v>
      </c>
      <c r="N11">
        <v>1009</v>
      </c>
      <c r="O11" t="s">
        <v>44</v>
      </c>
      <c r="P11" t="s">
        <v>44</v>
      </c>
      <c r="Q11">
        <v>1000</v>
      </c>
      <c r="Y11">
        <v>1.02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1.02</v>
      </c>
      <c r="AV11">
        <v>0</v>
      </c>
      <c r="AW11">
        <v>2</v>
      </c>
      <c r="AX11">
        <v>23486431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ROW(Source!A29)</f>
        <v>29</v>
      </c>
      <c r="B12">
        <v>23486432</v>
      </c>
      <c r="C12">
        <v>23485662</v>
      </c>
      <c r="D12">
        <v>11474139</v>
      </c>
      <c r="E12">
        <v>10962768</v>
      </c>
      <c r="F12">
        <v>1</v>
      </c>
      <c r="G12">
        <v>10962768</v>
      </c>
      <c r="H12">
        <v>1</v>
      </c>
      <c r="I12" t="s">
        <v>154</v>
      </c>
      <c r="K12" t="s">
        <v>155</v>
      </c>
      <c r="L12">
        <v>1191</v>
      </c>
      <c r="N12">
        <v>1013</v>
      </c>
      <c r="O12" t="s">
        <v>156</v>
      </c>
      <c r="P12" t="s">
        <v>156</v>
      </c>
      <c r="Q12">
        <v>1</v>
      </c>
      <c r="Y12">
        <v>63.22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63.22</v>
      </c>
      <c r="AV12">
        <v>1</v>
      </c>
      <c r="AW12">
        <v>2</v>
      </c>
      <c r="AX12">
        <v>23486432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ROW(Source!A29)</f>
        <v>29</v>
      </c>
      <c r="B13">
        <v>23486436</v>
      </c>
      <c r="C13">
        <v>23485662</v>
      </c>
      <c r="D13">
        <v>11500203</v>
      </c>
      <c r="E13">
        <v>10962768</v>
      </c>
      <c r="F13">
        <v>1</v>
      </c>
      <c r="G13">
        <v>10962768</v>
      </c>
      <c r="H13">
        <v>3</v>
      </c>
      <c r="I13" t="s">
        <v>162</v>
      </c>
      <c r="K13" t="s">
        <v>163</v>
      </c>
      <c r="L13">
        <v>1348</v>
      </c>
      <c r="N13">
        <v>1009</v>
      </c>
      <c r="O13" t="s">
        <v>44</v>
      </c>
      <c r="P13" t="s">
        <v>44</v>
      </c>
      <c r="Q13">
        <v>1000</v>
      </c>
      <c r="Y13">
        <v>0.33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0.33</v>
      </c>
      <c r="AV13">
        <v>0</v>
      </c>
      <c r="AW13">
        <v>2</v>
      </c>
      <c r="AX13">
        <v>23486436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ROW(Source!A29)</f>
        <v>29</v>
      </c>
      <c r="B14">
        <v>23486433</v>
      </c>
      <c r="C14">
        <v>23485662</v>
      </c>
      <c r="D14">
        <v>15379534</v>
      </c>
      <c r="E14">
        <v>1</v>
      </c>
      <c r="F14">
        <v>1</v>
      </c>
      <c r="G14">
        <v>10962768</v>
      </c>
      <c r="H14">
        <v>3</v>
      </c>
      <c r="I14" t="s">
        <v>42</v>
      </c>
      <c r="J14" t="s">
        <v>45</v>
      </c>
      <c r="K14" t="s">
        <v>43</v>
      </c>
      <c r="L14">
        <v>1348</v>
      </c>
      <c r="N14">
        <v>1009</v>
      </c>
      <c r="O14" t="s">
        <v>44</v>
      </c>
      <c r="P14" t="s">
        <v>44</v>
      </c>
      <c r="Q14">
        <v>1000</v>
      </c>
      <c r="Y14">
        <v>0.32459</v>
      </c>
      <c r="AA14">
        <v>15328.48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0.32459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ROW(Source!A29)</f>
        <v>29</v>
      </c>
      <c r="B15">
        <v>23486434</v>
      </c>
      <c r="C15">
        <v>23485662</v>
      </c>
      <c r="D15">
        <v>15378653</v>
      </c>
      <c r="E15">
        <v>1</v>
      </c>
      <c r="F15">
        <v>1</v>
      </c>
      <c r="G15">
        <v>10962768</v>
      </c>
      <c r="H15">
        <v>3</v>
      </c>
      <c r="I15" t="s">
        <v>164</v>
      </c>
      <c r="J15" t="s">
        <v>165</v>
      </c>
      <c r="K15" t="s">
        <v>166</v>
      </c>
      <c r="L15">
        <v>1348</v>
      </c>
      <c r="N15">
        <v>1009</v>
      </c>
      <c r="O15" t="s">
        <v>44</v>
      </c>
      <c r="P15" t="s">
        <v>44</v>
      </c>
      <c r="Q15">
        <v>1000</v>
      </c>
      <c r="Y15">
        <v>0.004</v>
      </c>
      <c r="AA15">
        <v>6521.42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0.004</v>
      </c>
      <c r="AV15">
        <v>0</v>
      </c>
      <c r="AW15">
        <v>2</v>
      </c>
      <c r="AX15">
        <v>23486434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ROW(Source!A29)</f>
        <v>29</v>
      </c>
      <c r="B16">
        <v>23486435</v>
      </c>
      <c r="C16">
        <v>23485662</v>
      </c>
      <c r="D16">
        <v>15379420</v>
      </c>
      <c r="E16">
        <v>1</v>
      </c>
      <c r="F16">
        <v>1</v>
      </c>
      <c r="G16">
        <v>10962768</v>
      </c>
      <c r="H16">
        <v>3</v>
      </c>
      <c r="I16" t="s">
        <v>167</v>
      </c>
      <c r="J16" t="s">
        <v>168</v>
      </c>
      <c r="K16" t="s">
        <v>169</v>
      </c>
      <c r="L16">
        <v>1348</v>
      </c>
      <c r="N16">
        <v>1009</v>
      </c>
      <c r="O16" t="s">
        <v>44</v>
      </c>
      <c r="P16" t="s">
        <v>44</v>
      </c>
      <c r="Q16">
        <v>1000</v>
      </c>
      <c r="Y16">
        <v>0.006</v>
      </c>
      <c r="AA16">
        <v>8559.28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0.006</v>
      </c>
      <c r="AV16">
        <v>0</v>
      </c>
      <c r="AW16">
        <v>2</v>
      </c>
      <c r="AX16">
        <v>23486435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ROW(Source!A31)</f>
        <v>31</v>
      </c>
      <c r="B17">
        <v>23486438</v>
      </c>
      <c r="C17">
        <v>23485667</v>
      </c>
      <c r="D17">
        <v>11474139</v>
      </c>
      <c r="E17">
        <v>10962768</v>
      </c>
      <c r="F17">
        <v>1</v>
      </c>
      <c r="G17">
        <v>10962768</v>
      </c>
      <c r="H17">
        <v>1</v>
      </c>
      <c r="I17" t="s">
        <v>154</v>
      </c>
      <c r="K17" t="s">
        <v>155</v>
      </c>
      <c r="L17">
        <v>1191</v>
      </c>
      <c r="N17">
        <v>1013</v>
      </c>
      <c r="O17" t="s">
        <v>156</v>
      </c>
      <c r="P17" t="s">
        <v>156</v>
      </c>
      <c r="Q17">
        <v>1</v>
      </c>
      <c r="Y17">
        <v>18.6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18.6</v>
      </c>
      <c r="AV17">
        <v>1</v>
      </c>
      <c r="AW17">
        <v>2</v>
      </c>
      <c r="AX17">
        <v>23486438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ROW(Source!A31)</f>
        <v>31</v>
      </c>
      <c r="B18">
        <v>23486440</v>
      </c>
      <c r="C18">
        <v>23485667</v>
      </c>
      <c r="D18">
        <v>11500203</v>
      </c>
      <c r="E18">
        <v>10962768</v>
      </c>
      <c r="F18">
        <v>1</v>
      </c>
      <c r="G18">
        <v>10962768</v>
      </c>
      <c r="H18">
        <v>3</v>
      </c>
      <c r="I18" t="s">
        <v>162</v>
      </c>
      <c r="K18" t="s">
        <v>163</v>
      </c>
      <c r="L18">
        <v>1348</v>
      </c>
      <c r="N18">
        <v>1009</v>
      </c>
      <c r="O18" t="s">
        <v>44</v>
      </c>
      <c r="P18" t="s">
        <v>44</v>
      </c>
      <c r="Q18">
        <v>1000</v>
      </c>
      <c r="Y18">
        <v>0.052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0.052</v>
      </c>
      <c r="AV18">
        <v>0</v>
      </c>
      <c r="AW18">
        <v>2</v>
      </c>
      <c r="AX18">
        <v>23486440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ROW(Source!A31)</f>
        <v>31</v>
      </c>
      <c r="B19">
        <v>23486439</v>
      </c>
      <c r="C19">
        <v>23485667</v>
      </c>
      <c r="D19">
        <v>15379534</v>
      </c>
      <c r="E19">
        <v>1</v>
      </c>
      <c r="F19">
        <v>1</v>
      </c>
      <c r="G19">
        <v>10962768</v>
      </c>
      <c r="H19">
        <v>3</v>
      </c>
      <c r="I19" t="s">
        <v>42</v>
      </c>
      <c r="J19" t="s">
        <v>45</v>
      </c>
      <c r="K19" t="s">
        <v>43</v>
      </c>
      <c r="L19">
        <v>1348</v>
      </c>
      <c r="N19">
        <v>1009</v>
      </c>
      <c r="O19" t="s">
        <v>44</v>
      </c>
      <c r="P19" t="s">
        <v>44</v>
      </c>
      <c r="Q19">
        <v>1000</v>
      </c>
      <c r="Y19">
        <v>0.05</v>
      </c>
      <c r="AA19">
        <v>15328.48</v>
      </c>
      <c r="AB19">
        <v>0</v>
      </c>
      <c r="AC19">
        <v>0</v>
      </c>
      <c r="AD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0.05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ROW(Source!A33)</f>
        <v>33</v>
      </c>
      <c r="B20">
        <v>23486442</v>
      </c>
      <c r="C20">
        <v>23485677</v>
      </c>
      <c r="D20">
        <v>11474139</v>
      </c>
      <c r="E20">
        <v>10962768</v>
      </c>
      <c r="F20">
        <v>1</v>
      </c>
      <c r="G20">
        <v>10962768</v>
      </c>
      <c r="H20">
        <v>1</v>
      </c>
      <c r="I20" t="s">
        <v>154</v>
      </c>
      <c r="K20" t="s">
        <v>155</v>
      </c>
      <c r="L20">
        <v>1191</v>
      </c>
      <c r="N20">
        <v>1013</v>
      </c>
      <c r="O20" t="s">
        <v>156</v>
      </c>
      <c r="P20" t="s">
        <v>156</v>
      </c>
      <c r="Q20">
        <v>1</v>
      </c>
      <c r="Y20">
        <v>113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113</v>
      </c>
      <c r="AV20">
        <v>1</v>
      </c>
      <c r="AW20">
        <v>2</v>
      </c>
      <c r="AX20">
        <v>23486442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ROW(Source!A33)</f>
        <v>33</v>
      </c>
      <c r="B21">
        <v>23486443</v>
      </c>
      <c r="C21">
        <v>23485677</v>
      </c>
      <c r="D21">
        <v>11550830</v>
      </c>
      <c r="E21">
        <v>1</v>
      </c>
      <c r="F21">
        <v>1</v>
      </c>
      <c r="G21">
        <v>10962768</v>
      </c>
      <c r="H21">
        <v>2</v>
      </c>
      <c r="I21" t="s">
        <v>170</v>
      </c>
      <c r="J21" t="s">
        <v>171</v>
      </c>
      <c r="K21" t="s">
        <v>172</v>
      </c>
      <c r="L21">
        <v>1368</v>
      </c>
      <c r="N21">
        <v>1011</v>
      </c>
      <c r="O21" t="s">
        <v>173</v>
      </c>
      <c r="P21" t="s">
        <v>173</v>
      </c>
      <c r="Q21">
        <v>1</v>
      </c>
      <c r="Y21">
        <v>1.19</v>
      </c>
      <c r="AA21">
        <v>0</v>
      </c>
      <c r="AB21">
        <v>41.62</v>
      </c>
      <c r="AC21">
        <v>13.33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1.19</v>
      </c>
      <c r="AV21">
        <v>0</v>
      </c>
      <c r="AW21">
        <v>2</v>
      </c>
      <c r="AX21">
        <v>23486443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ROW(Source!A33)</f>
        <v>33</v>
      </c>
      <c r="B22">
        <v>23486444</v>
      </c>
      <c r="C22">
        <v>23485677</v>
      </c>
      <c r="D22">
        <v>11551223</v>
      </c>
      <c r="E22">
        <v>1</v>
      </c>
      <c r="F22">
        <v>1</v>
      </c>
      <c r="G22">
        <v>10962768</v>
      </c>
      <c r="H22">
        <v>2</v>
      </c>
      <c r="I22" t="s">
        <v>174</v>
      </c>
      <c r="J22" t="s">
        <v>175</v>
      </c>
      <c r="K22" t="s">
        <v>176</v>
      </c>
      <c r="L22">
        <v>1368</v>
      </c>
      <c r="N22">
        <v>1011</v>
      </c>
      <c r="O22" t="s">
        <v>173</v>
      </c>
      <c r="P22" t="s">
        <v>173</v>
      </c>
      <c r="Q22">
        <v>1</v>
      </c>
      <c r="Y22">
        <v>1.19</v>
      </c>
      <c r="AA22">
        <v>0</v>
      </c>
      <c r="AB22">
        <v>3.16</v>
      </c>
      <c r="AC22">
        <v>0.04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1.19</v>
      </c>
      <c r="AV22">
        <v>0</v>
      </c>
      <c r="AW22">
        <v>2</v>
      </c>
      <c r="AX22">
        <v>23486444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ROW(Source!A33)</f>
        <v>33</v>
      </c>
      <c r="B23">
        <v>23486445</v>
      </c>
      <c r="C23">
        <v>23485677</v>
      </c>
      <c r="D23">
        <v>11550606</v>
      </c>
      <c r="E23">
        <v>1</v>
      </c>
      <c r="F23">
        <v>1</v>
      </c>
      <c r="G23">
        <v>10962768</v>
      </c>
      <c r="H23">
        <v>2</v>
      </c>
      <c r="I23" t="s">
        <v>177</v>
      </c>
      <c r="J23" t="s">
        <v>178</v>
      </c>
      <c r="K23" t="s">
        <v>179</v>
      </c>
      <c r="L23">
        <v>1368</v>
      </c>
      <c r="N23">
        <v>1011</v>
      </c>
      <c r="O23" t="s">
        <v>173</v>
      </c>
      <c r="P23" t="s">
        <v>173</v>
      </c>
      <c r="Q23">
        <v>1</v>
      </c>
      <c r="Y23">
        <v>1.18</v>
      </c>
      <c r="AA23">
        <v>0</v>
      </c>
      <c r="AB23">
        <v>1.28</v>
      </c>
      <c r="AC23">
        <v>0.67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1.18</v>
      </c>
      <c r="AV23">
        <v>0</v>
      </c>
      <c r="AW23">
        <v>2</v>
      </c>
      <c r="AX23">
        <v>23486445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ROW(Source!A33)</f>
        <v>33</v>
      </c>
      <c r="B24">
        <v>23486448</v>
      </c>
      <c r="C24">
        <v>23485677</v>
      </c>
      <c r="D24">
        <v>11500203</v>
      </c>
      <c r="E24">
        <v>10962768</v>
      </c>
      <c r="F24">
        <v>1</v>
      </c>
      <c r="G24">
        <v>10962768</v>
      </c>
      <c r="H24">
        <v>3</v>
      </c>
      <c r="I24" t="s">
        <v>162</v>
      </c>
      <c r="K24" t="s">
        <v>163</v>
      </c>
      <c r="L24">
        <v>1348</v>
      </c>
      <c r="N24">
        <v>1009</v>
      </c>
      <c r="O24" t="s">
        <v>44</v>
      </c>
      <c r="P24" t="s">
        <v>44</v>
      </c>
      <c r="Q24">
        <v>1000</v>
      </c>
      <c r="Y24">
        <v>1.28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1.28</v>
      </c>
      <c r="AV24">
        <v>0</v>
      </c>
      <c r="AW24">
        <v>2</v>
      </c>
      <c r="AX24">
        <v>23486448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ROW(Source!A33)</f>
        <v>33</v>
      </c>
      <c r="B25">
        <v>23486446</v>
      </c>
      <c r="C25">
        <v>23485677</v>
      </c>
      <c r="D25">
        <v>15379771</v>
      </c>
      <c r="E25">
        <v>1</v>
      </c>
      <c r="F25">
        <v>1</v>
      </c>
      <c r="G25">
        <v>10962768</v>
      </c>
      <c r="H25">
        <v>3</v>
      </c>
      <c r="I25" t="s">
        <v>180</v>
      </c>
      <c r="J25" t="s">
        <v>181</v>
      </c>
      <c r="K25" t="s">
        <v>182</v>
      </c>
      <c r="L25">
        <v>1348</v>
      </c>
      <c r="N25">
        <v>1009</v>
      </c>
      <c r="O25" t="s">
        <v>44</v>
      </c>
      <c r="P25" t="s">
        <v>44</v>
      </c>
      <c r="Q25">
        <v>1000</v>
      </c>
      <c r="Y25">
        <v>0.021</v>
      </c>
      <c r="AA25">
        <v>315.2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0.021</v>
      </c>
      <c r="AV25">
        <v>0</v>
      </c>
      <c r="AW25">
        <v>2</v>
      </c>
      <c r="AX25">
        <v>23486446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ROW(Source!A33)</f>
        <v>33</v>
      </c>
      <c r="B26">
        <v>23486447</v>
      </c>
      <c r="C26">
        <v>23485677</v>
      </c>
      <c r="D26">
        <v>11555019</v>
      </c>
      <c r="E26">
        <v>1</v>
      </c>
      <c r="F26">
        <v>1</v>
      </c>
      <c r="G26">
        <v>10962768</v>
      </c>
      <c r="H26">
        <v>3</v>
      </c>
      <c r="I26" t="s">
        <v>157</v>
      </c>
      <c r="J26" t="s">
        <v>158</v>
      </c>
      <c r="K26" t="s">
        <v>159</v>
      </c>
      <c r="L26">
        <v>1339</v>
      </c>
      <c r="N26">
        <v>1007</v>
      </c>
      <c r="O26" t="s">
        <v>85</v>
      </c>
      <c r="P26" t="s">
        <v>85</v>
      </c>
      <c r="Q26">
        <v>1</v>
      </c>
      <c r="Y26">
        <v>2.14</v>
      </c>
      <c r="AA26">
        <v>451.14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2.14</v>
      </c>
      <c r="AV26">
        <v>0</v>
      </c>
      <c r="AW26">
        <v>2</v>
      </c>
      <c r="AX26">
        <v>23486447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ROW(Source!A34)</f>
        <v>34</v>
      </c>
      <c r="B27">
        <v>23486449</v>
      </c>
      <c r="C27">
        <v>23485685</v>
      </c>
      <c r="D27">
        <v>11474139</v>
      </c>
      <c r="E27">
        <v>10962768</v>
      </c>
      <c r="F27">
        <v>1</v>
      </c>
      <c r="G27">
        <v>10962768</v>
      </c>
      <c r="H27">
        <v>1</v>
      </c>
      <c r="I27" t="s">
        <v>154</v>
      </c>
      <c r="K27" t="s">
        <v>155</v>
      </c>
      <c r="L27">
        <v>1191</v>
      </c>
      <c r="N27">
        <v>1013</v>
      </c>
      <c r="O27" t="s">
        <v>156</v>
      </c>
      <c r="P27" t="s">
        <v>156</v>
      </c>
      <c r="Q27">
        <v>1</v>
      </c>
      <c r="Y27">
        <v>60.949999999999996</v>
      </c>
      <c r="AA27">
        <v>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53</v>
      </c>
      <c r="AU27" t="s">
        <v>68</v>
      </c>
      <c r="AV27">
        <v>1</v>
      </c>
      <c r="AW27">
        <v>2</v>
      </c>
      <c r="AX27">
        <v>23486449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ROW(Source!A34)</f>
        <v>34</v>
      </c>
      <c r="B28">
        <v>23486450</v>
      </c>
      <c r="C28">
        <v>23485685</v>
      </c>
      <c r="D28">
        <v>11476092</v>
      </c>
      <c r="E28">
        <v>10962768</v>
      </c>
      <c r="F28">
        <v>1</v>
      </c>
      <c r="G28">
        <v>10962768</v>
      </c>
      <c r="H28">
        <v>2</v>
      </c>
      <c r="I28" t="s">
        <v>183</v>
      </c>
      <c r="K28" t="s">
        <v>184</v>
      </c>
      <c r="L28">
        <v>1344</v>
      </c>
      <c r="N28">
        <v>1008</v>
      </c>
      <c r="O28" t="s">
        <v>185</v>
      </c>
      <c r="P28" t="s">
        <v>185</v>
      </c>
      <c r="Q28">
        <v>1</v>
      </c>
      <c r="Y28">
        <v>333.96250000000003</v>
      </c>
      <c r="AA28">
        <v>0</v>
      </c>
      <c r="AB28">
        <v>1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267.17</v>
      </c>
      <c r="AU28" t="s">
        <v>67</v>
      </c>
      <c r="AV28">
        <v>0</v>
      </c>
      <c r="AW28">
        <v>2</v>
      </c>
      <c r="AX28">
        <v>23486450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ROW(Source!A34)</f>
        <v>34</v>
      </c>
      <c r="B29">
        <v>23486453</v>
      </c>
      <c r="C29">
        <v>23485685</v>
      </c>
      <c r="D29">
        <v>15379761</v>
      </c>
      <c r="E29">
        <v>1</v>
      </c>
      <c r="F29">
        <v>1</v>
      </c>
      <c r="G29">
        <v>10962768</v>
      </c>
      <c r="H29">
        <v>3</v>
      </c>
      <c r="I29" t="s">
        <v>72</v>
      </c>
      <c r="J29" t="s">
        <v>75</v>
      </c>
      <c r="K29" t="s">
        <v>73</v>
      </c>
      <c r="L29">
        <v>1327</v>
      </c>
      <c r="N29">
        <v>1005</v>
      </c>
      <c r="O29" t="s">
        <v>74</v>
      </c>
      <c r="P29" t="s">
        <v>74</v>
      </c>
      <c r="Q29">
        <v>1</v>
      </c>
      <c r="Y29">
        <v>135</v>
      </c>
      <c r="AA29">
        <v>25.09</v>
      </c>
      <c r="AB29">
        <v>0</v>
      </c>
      <c r="AC29">
        <v>0</v>
      </c>
      <c r="AD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135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ROW(Source!A34)</f>
        <v>34</v>
      </c>
      <c r="B30">
        <v>23486454</v>
      </c>
      <c r="C30">
        <v>23485685</v>
      </c>
      <c r="D30">
        <v>15379762</v>
      </c>
      <c r="E30">
        <v>1</v>
      </c>
      <c r="F30">
        <v>1</v>
      </c>
      <c r="G30">
        <v>10962768</v>
      </c>
      <c r="H30">
        <v>3</v>
      </c>
      <c r="I30" t="s">
        <v>77</v>
      </c>
      <c r="J30" t="s">
        <v>79</v>
      </c>
      <c r="K30" t="s">
        <v>78</v>
      </c>
      <c r="L30">
        <v>1327</v>
      </c>
      <c r="N30">
        <v>1005</v>
      </c>
      <c r="O30" t="s">
        <v>74</v>
      </c>
      <c r="P30" t="s">
        <v>74</v>
      </c>
      <c r="Q30">
        <v>1</v>
      </c>
      <c r="Y30">
        <v>132.300057</v>
      </c>
      <c r="AA30">
        <v>23.06</v>
      </c>
      <c r="AB30">
        <v>0</v>
      </c>
      <c r="AC30">
        <v>0</v>
      </c>
      <c r="AD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132.300057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ROW(Source!A34)</f>
        <v>34</v>
      </c>
      <c r="B31">
        <v>23486451</v>
      </c>
      <c r="C31">
        <v>23485685</v>
      </c>
      <c r="D31">
        <v>15380978</v>
      </c>
      <c r="E31">
        <v>1</v>
      </c>
      <c r="F31">
        <v>1</v>
      </c>
      <c r="G31">
        <v>10962768</v>
      </c>
      <c r="H31">
        <v>3</v>
      </c>
      <c r="I31" t="s">
        <v>186</v>
      </c>
      <c r="J31" t="s">
        <v>187</v>
      </c>
      <c r="K31" t="s">
        <v>188</v>
      </c>
      <c r="L31">
        <v>1346</v>
      </c>
      <c r="N31">
        <v>1009</v>
      </c>
      <c r="O31" t="s">
        <v>189</v>
      </c>
      <c r="P31" t="s">
        <v>189</v>
      </c>
      <c r="Q31">
        <v>1</v>
      </c>
      <c r="Y31">
        <v>6.9</v>
      </c>
      <c r="AA31">
        <v>6.27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6.9</v>
      </c>
      <c r="AV31">
        <v>0</v>
      </c>
      <c r="AW31">
        <v>2</v>
      </c>
      <c r="AX31">
        <v>23486451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ROW(Source!A34)</f>
        <v>34</v>
      </c>
      <c r="B32">
        <v>23486452</v>
      </c>
      <c r="C32">
        <v>23485685</v>
      </c>
      <c r="D32">
        <v>15379098</v>
      </c>
      <c r="E32">
        <v>1</v>
      </c>
      <c r="F32">
        <v>1</v>
      </c>
      <c r="G32">
        <v>10962768</v>
      </c>
      <c r="H32">
        <v>3</v>
      </c>
      <c r="I32" t="s">
        <v>190</v>
      </c>
      <c r="J32" t="s">
        <v>191</v>
      </c>
      <c r="K32" t="s">
        <v>192</v>
      </c>
      <c r="L32">
        <v>1348</v>
      </c>
      <c r="N32">
        <v>1009</v>
      </c>
      <c r="O32" t="s">
        <v>44</v>
      </c>
      <c r="P32" t="s">
        <v>44</v>
      </c>
      <c r="Q32">
        <v>1000</v>
      </c>
      <c r="Y32">
        <v>0.035</v>
      </c>
      <c r="AA32">
        <v>18910.8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0.035</v>
      </c>
      <c r="AV32">
        <v>0</v>
      </c>
      <c r="AW32">
        <v>2</v>
      </c>
      <c r="AX32">
        <v>23486452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ROW(Source!A37)</f>
        <v>37</v>
      </c>
      <c r="B33">
        <v>23486457</v>
      </c>
      <c r="C33">
        <v>23485697</v>
      </c>
      <c r="D33">
        <v>11474139</v>
      </c>
      <c r="E33">
        <v>10962768</v>
      </c>
      <c r="F33">
        <v>1</v>
      </c>
      <c r="G33">
        <v>10962768</v>
      </c>
      <c r="H33">
        <v>1</v>
      </c>
      <c r="I33" t="s">
        <v>154</v>
      </c>
      <c r="K33" t="s">
        <v>155</v>
      </c>
      <c r="L33">
        <v>1191</v>
      </c>
      <c r="N33">
        <v>1013</v>
      </c>
      <c r="O33" t="s">
        <v>156</v>
      </c>
      <c r="P33" t="s">
        <v>156</v>
      </c>
      <c r="Q33">
        <v>1</v>
      </c>
      <c r="Y33">
        <v>113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113</v>
      </c>
      <c r="AV33">
        <v>1</v>
      </c>
      <c r="AW33">
        <v>2</v>
      </c>
      <c r="AX33">
        <v>23486457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ROW(Source!A37)</f>
        <v>37</v>
      </c>
      <c r="B34">
        <v>23486458</v>
      </c>
      <c r="C34">
        <v>23485697</v>
      </c>
      <c r="D34">
        <v>11550830</v>
      </c>
      <c r="E34">
        <v>1</v>
      </c>
      <c r="F34">
        <v>1</v>
      </c>
      <c r="G34">
        <v>10962768</v>
      </c>
      <c r="H34">
        <v>2</v>
      </c>
      <c r="I34" t="s">
        <v>170</v>
      </c>
      <c r="J34" t="s">
        <v>171</v>
      </c>
      <c r="K34" t="s">
        <v>172</v>
      </c>
      <c r="L34">
        <v>1368</v>
      </c>
      <c r="N34">
        <v>1011</v>
      </c>
      <c r="O34" t="s">
        <v>173</v>
      </c>
      <c r="P34" t="s">
        <v>173</v>
      </c>
      <c r="Q34">
        <v>1</v>
      </c>
      <c r="Y34">
        <v>1.19</v>
      </c>
      <c r="AA34">
        <v>0</v>
      </c>
      <c r="AB34">
        <v>41.62</v>
      </c>
      <c r="AC34">
        <v>13.33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1.19</v>
      </c>
      <c r="AV34">
        <v>0</v>
      </c>
      <c r="AW34">
        <v>2</v>
      </c>
      <c r="AX34">
        <v>23486458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ROW(Source!A37)</f>
        <v>37</v>
      </c>
      <c r="B35">
        <v>23486459</v>
      </c>
      <c r="C35">
        <v>23485697</v>
      </c>
      <c r="D35">
        <v>11551223</v>
      </c>
      <c r="E35">
        <v>1</v>
      </c>
      <c r="F35">
        <v>1</v>
      </c>
      <c r="G35">
        <v>10962768</v>
      </c>
      <c r="H35">
        <v>2</v>
      </c>
      <c r="I35" t="s">
        <v>174</v>
      </c>
      <c r="J35" t="s">
        <v>175</v>
      </c>
      <c r="K35" t="s">
        <v>176</v>
      </c>
      <c r="L35">
        <v>1368</v>
      </c>
      <c r="N35">
        <v>1011</v>
      </c>
      <c r="O35" t="s">
        <v>173</v>
      </c>
      <c r="P35" t="s">
        <v>173</v>
      </c>
      <c r="Q35">
        <v>1</v>
      </c>
      <c r="Y35">
        <v>1.19</v>
      </c>
      <c r="AA35">
        <v>0</v>
      </c>
      <c r="AB35">
        <v>3.16</v>
      </c>
      <c r="AC35">
        <v>0.04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1.19</v>
      </c>
      <c r="AV35">
        <v>0</v>
      </c>
      <c r="AW35">
        <v>2</v>
      </c>
      <c r="AX35">
        <v>23486459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ROW(Source!A37)</f>
        <v>37</v>
      </c>
      <c r="B36">
        <v>23486460</v>
      </c>
      <c r="C36">
        <v>23485697</v>
      </c>
      <c r="D36">
        <v>11550606</v>
      </c>
      <c r="E36">
        <v>1</v>
      </c>
      <c r="F36">
        <v>1</v>
      </c>
      <c r="G36">
        <v>10962768</v>
      </c>
      <c r="H36">
        <v>2</v>
      </c>
      <c r="I36" t="s">
        <v>177</v>
      </c>
      <c r="J36" t="s">
        <v>178</v>
      </c>
      <c r="K36" t="s">
        <v>179</v>
      </c>
      <c r="L36">
        <v>1368</v>
      </c>
      <c r="N36">
        <v>1011</v>
      </c>
      <c r="O36" t="s">
        <v>173</v>
      </c>
      <c r="P36" t="s">
        <v>173</v>
      </c>
      <c r="Q36">
        <v>1</v>
      </c>
      <c r="Y36">
        <v>1.18</v>
      </c>
      <c r="AA36">
        <v>0</v>
      </c>
      <c r="AB36">
        <v>1.28</v>
      </c>
      <c r="AC36">
        <v>0.67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1.18</v>
      </c>
      <c r="AV36">
        <v>0</v>
      </c>
      <c r="AW36">
        <v>2</v>
      </c>
      <c r="AX36">
        <v>23486460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ROW(Source!A37)</f>
        <v>37</v>
      </c>
      <c r="B37">
        <v>23486463</v>
      </c>
      <c r="C37">
        <v>23485697</v>
      </c>
      <c r="D37">
        <v>11500203</v>
      </c>
      <c r="E37">
        <v>10962768</v>
      </c>
      <c r="F37">
        <v>1</v>
      </c>
      <c r="G37">
        <v>10962768</v>
      </c>
      <c r="H37">
        <v>3</v>
      </c>
      <c r="I37" t="s">
        <v>162</v>
      </c>
      <c r="K37" t="s">
        <v>163</v>
      </c>
      <c r="L37">
        <v>1348</v>
      </c>
      <c r="N37">
        <v>1009</v>
      </c>
      <c r="O37" t="s">
        <v>44</v>
      </c>
      <c r="P37" t="s">
        <v>44</v>
      </c>
      <c r="Q37">
        <v>1000</v>
      </c>
      <c r="Y37">
        <v>1.28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1.28</v>
      </c>
      <c r="AV37">
        <v>0</v>
      </c>
      <c r="AW37">
        <v>2</v>
      </c>
      <c r="AX37">
        <v>23486463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ROW(Source!A37)</f>
        <v>37</v>
      </c>
      <c r="B38">
        <v>23486461</v>
      </c>
      <c r="C38">
        <v>23485697</v>
      </c>
      <c r="D38">
        <v>15379771</v>
      </c>
      <c r="E38">
        <v>1</v>
      </c>
      <c r="F38">
        <v>1</v>
      </c>
      <c r="G38">
        <v>10962768</v>
      </c>
      <c r="H38">
        <v>3</v>
      </c>
      <c r="I38" t="s">
        <v>180</v>
      </c>
      <c r="J38" t="s">
        <v>181</v>
      </c>
      <c r="K38" t="s">
        <v>182</v>
      </c>
      <c r="L38">
        <v>1348</v>
      </c>
      <c r="N38">
        <v>1009</v>
      </c>
      <c r="O38" t="s">
        <v>44</v>
      </c>
      <c r="P38" t="s">
        <v>44</v>
      </c>
      <c r="Q38">
        <v>1000</v>
      </c>
      <c r="Y38">
        <v>0.021</v>
      </c>
      <c r="AA38">
        <v>315.2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0.021</v>
      </c>
      <c r="AV38">
        <v>0</v>
      </c>
      <c r="AW38">
        <v>2</v>
      </c>
      <c r="AX38">
        <v>23486461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ROW(Source!A37)</f>
        <v>37</v>
      </c>
      <c r="B39">
        <v>23486462</v>
      </c>
      <c r="C39">
        <v>23485697</v>
      </c>
      <c r="D39">
        <v>11555019</v>
      </c>
      <c r="E39">
        <v>1</v>
      </c>
      <c r="F39">
        <v>1</v>
      </c>
      <c r="G39">
        <v>10962768</v>
      </c>
      <c r="H39">
        <v>3</v>
      </c>
      <c r="I39" t="s">
        <v>157</v>
      </c>
      <c r="J39" t="s">
        <v>158</v>
      </c>
      <c r="K39" t="s">
        <v>159</v>
      </c>
      <c r="L39">
        <v>1339</v>
      </c>
      <c r="N39">
        <v>1007</v>
      </c>
      <c r="O39" t="s">
        <v>85</v>
      </c>
      <c r="P39" t="s">
        <v>85</v>
      </c>
      <c r="Q39">
        <v>1</v>
      </c>
      <c r="Y39">
        <v>2.14</v>
      </c>
      <c r="AA39">
        <v>451.14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2.14</v>
      </c>
      <c r="AV39">
        <v>0</v>
      </c>
      <c r="AW39">
        <v>2</v>
      </c>
      <c r="AX39">
        <v>23486462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ROW(Source!A38)</f>
        <v>38</v>
      </c>
      <c r="B40">
        <v>23486464</v>
      </c>
      <c r="C40">
        <v>23485707</v>
      </c>
      <c r="D40">
        <v>11474139</v>
      </c>
      <c r="E40">
        <v>10962768</v>
      </c>
      <c r="F40">
        <v>1</v>
      </c>
      <c r="G40">
        <v>10962768</v>
      </c>
      <c r="H40">
        <v>1</v>
      </c>
      <c r="I40" t="s">
        <v>154</v>
      </c>
      <c r="K40" t="s">
        <v>155</v>
      </c>
      <c r="L40">
        <v>1191</v>
      </c>
      <c r="N40">
        <v>1013</v>
      </c>
      <c r="O40" t="s">
        <v>156</v>
      </c>
      <c r="P40" t="s">
        <v>156</v>
      </c>
      <c r="Q40">
        <v>1</v>
      </c>
      <c r="Y40">
        <v>118.44999999999999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103</v>
      </c>
      <c r="AU40" t="s">
        <v>68</v>
      </c>
      <c r="AV40">
        <v>1</v>
      </c>
      <c r="AW40">
        <v>2</v>
      </c>
      <c r="AX40">
        <v>23486464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ROW(Source!A38)</f>
        <v>38</v>
      </c>
      <c r="B41">
        <v>23486465</v>
      </c>
      <c r="C41">
        <v>23485707</v>
      </c>
      <c r="D41">
        <v>11555019</v>
      </c>
      <c r="E41">
        <v>1</v>
      </c>
      <c r="F41">
        <v>1</v>
      </c>
      <c r="G41">
        <v>10962768</v>
      </c>
      <c r="H41">
        <v>3</v>
      </c>
      <c r="I41" t="s">
        <v>157</v>
      </c>
      <c r="J41" t="s">
        <v>158</v>
      </c>
      <c r="K41" t="s">
        <v>159</v>
      </c>
      <c r="L41">
        <v>1339</v>
      </c>
      <c r="N41">
        <v>1007</v>
      </c>
      <c r="O41" t="s">
        <v>85</v>
      </c>
      <c r="P41" t="s">
        <v>85</v>
      </c>
      <c r="Q41">
        <v>1</v>
      </c>
      <c r="Y41">
        <v>3.3</v>
      </c>
      <c r="AA41">
        <v>451.14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3.3</v>
      </c>
      <c r="AV41">
        <v>0</v>
      </c>
      <c r="AW41">
        <v>2</v>
      </c>
      <c r="AX41">
        <v>23486465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ROW(Source!A38)</f>
        <v>38</v>
      </c>
      <c r="B42">
        <v>23486466</v>
      </c>
      <c r="C42">
        <v>23485707</v>
      </c>
      <c r="D42">
        <v>11556811</v>
      </c>
      <c r="E42">
        <v>1</v>
      </c>
      <c r="F42">
        <v>1</v>
      </c>
      <c r="G42">
        <v>10962768</v>
      </c>
      <c r="H42">
        <v>3</v>
      </c>
      <c r="I42" t="s">
        <v>83</v>
      </c>
      <c r="J42" t="s">
        <v>86</v>
      </c>
      <c r="K42" t="s">
        <v>84</v>
      </c>
      <c r="L42">
        <v>1339</v>
      </c>
      <c r="N42">
        <v>1007</v>
      </c>
      <c r="O42" t="s">
        <v>85</v>
      </c>
      <c r="P42" t="s">
        <v>85</v>
      </c>
      <c r="Q42">
        <v>1</v>
      </c>
      <c r="Y42">
        <v>8.940909</v>
      </c>
      <c r="AA42">
        <v>1205.65</v>
      </c>
      <c r="AB42">
        <v>0</v>
      </c>
      <c r="AC42">
        <v>0</v>
      </c>
      <c r="AD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T42">
        <v>8.940909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ROW(Source!A40)</f>
        <v>40</v>
      </c>
      <c r="B43">
        <v>23486468</v>
      </c>
      <c r="C43">
        <v>23485715</v>
      </c>
      <c r="D43">
        <v>11474139</v>
      </c>
      <c r="E43">
        <v>10962768</v>
      </c>
      <c r="F43">
        <v>1</v>
      </c>
      <c r="G43">
        <v>10962768</v>
      </c>
      <c r="H43">
        <v>1</v>
      </c>
      <c r="I43" t="s">
        <v>154</v>
      </c>
      <c r="K43" t="s">
        <v>155</v>
      </c>
      <c r="L43">
        <v>1191</v>
      </c>
      <c r="N43">
        <v>1013</v>
      </c>
      <c r="O43" t="s">
        <v>156</v>
      </c>
      <c r="P43" t="s">
        <v>156</v>
      </c>
      <c r="Q43">
        <v>1</v>
      </c>
      <c r="Y43">
        <v>60.949999999999996</v>
      </c>
      <c r="AA43">
        <v>0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53</v>
      </c>
      <c r="AU43" t="s">
        <v>68</v>
      </c>
      <c r="AV43">
        <v>1</v>
      </c>
      <c r="AW43">
        <v>2</v>
      </c>
      <c r="AX43">
        <v>23486468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ROW(Source!A40)</f>
        <v>40</v>
      </c>
      <c r="B44">
        <v>23486469</v>
      </c>
      <c r="C44">
        <v>23485715</v>
      </c>
      <c r="D44">
        <v>11476092</v>
      </c>
      <c r="E44">
        <v>10962768</v>
      </c>
      <c r="F44">
        <v>1</v>
      </c>
      <c r="G44">
        <v>10962768</v>
      </c>
      <c r="H44">
        <v>2</v>
      </c>
      <c r="I44" t="s">
        <v>183</v>
      </c>
      <c r="K44" t="s">
        <v>184</v>
      </c>
      <c r="L44">
        <v>1344</v>
      </c>
      <c r="N44">
        <v>1008</v>
      </c>
      <c r="O44" t="s">
        <v>185</v>
      </c>
      <c r="P44" t="s">
        <v>185</v>
      </c>
      <c r="Q44">
        <v>1</v>
      </c>
      <c r="Y44">
        <v>333.96250000000003</v>
      </c>
      <c r="AA44">
        <v>0</v>
      </c>
      <c r="AB44">
        <v>1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267.17</v>
      </c>
      <c r="AU44" t="s">
        <v>67</v>
      </c>
      <c r="AV44">
        <v>0</v>
      </c>
      <c r="AW44">
        <v>2</v>
      </c>
      <c r="AX44">
        <v>23486469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ROW(Source!A40)</f>
        <v>40</v>
      </c>
      <c r="B45">
        <v>23486472</v>
      </c>
      <c r="C45">
        <v>23485715</v>
      </c>
      <c r="D45">
        <v>15379761</v>
      </c>
      <c r="E45">
        <v>1</v>
      </c>
      <c r="F45">
        <v>1</v>
      </c>
      <c r="G45">
        <v>10962768</v>
      </c>
      <c r="H45">
        <v>3</v>
      </c>
      <c r="I45" t="s">
        <v>72</v>
      </c>
      <c r="J45" t="s">
        <v>75</v>
      </c>
      <c r="K45" t="s">
        <v>73</v>
      </c>
      <c r="L45">
        <v>1327</v>
      </c>
      <c r="N45">
        <v>1005</v>
      </c>
      <c r="O45" t="s">
        <v>74</v>
      </c>
      <c r="P45" t="s">
        <v>74</v>
      </c>
      <c r="Q45">
        <v>1</v>
      </c>
      <c r="Y45">
        <v>135</v>
      </c>
      <c r="AA45">
        <v>25.09</v>
      </c>
      <c r="AB45">
        <v>0</v>
      </c>
      <c r="AC45">
        <v>0</v>
      </c>
      <c r="AD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135</v>
      </c>
      <c r="AV45">
        <v>0</v>
      </c>
      <c r="AW45">
        <v>1</v>
      </c>
      <c r="AX45">
        <v>-1</v>
      </c>
      <c r="AY45">
        <v>0</v>
      </c>
      <c r="AZ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ROW(Source!A40)</f>
        <v>40</v>
      </c>
      <c r="B46">
        <v>23486473</v>
      </c>
      <c r="C46">
        <v>23485715</v>
      </c>
      <c r="D46">
        <v>15379762</v>
      </c>
      <c r="E46">
        <v>1</v>
      </c>
      <c r="F46">
        <v>1</v>
      </c>
      <c r="G46">
        <v>10962768</v>
      </c>
      <c r="H46">
        <v>3</v>
      </c>
      <c r="I46" t="s">
        <v>77</v>
      </c>
      <c r="J46" t="s">
        <v>79</v>
      </c>
      <c r="K46" t="s">
        <v>78</v>
      </c>
      <c r="L46">
        <v>1327</v>
      </c>
      <c r="N46">
        <v>1005</v>
      </c>
      <c r="O46" t="s">
        <v>74</v>
      </c>
      <c r="P46" t="s">
        <v>74</v>
      </c>
      <c r="Q46">
        <v>1</v>
      </c>
      <c r="Y46">
        <v>132.3</v>
      </c>
      <c r="AA46">
        <v>23.06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132.3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ROW(Source!A40)</f>
        <v>40</v>
      </c>
      <c r="B47">
        <v>23486470</v>
      </c>
      <c r="C47">
        <v>23485715</v>
      </c>
      <c r="D47">
        <v>15380978</v>
      </c>
      <c r="E47">
        <v>1</v>
      </c>
      <c r="F47">
        <v>1</v>
      </c>
      <c r="G47">
        <v>10962768</v>
      </c>
      <c r="H47">
        <v>3</v>
      </c>
      <c r="I47" t="s">
        <v>186</v>
      </c>
      <c r="J47" t="s">
        <v>187</v>
      </c>
      <c r="K47" t="s">
        <v>188</v>
      </c>
      <c r="L47">
        <v>1346</v>
      </c>
      <c r="N47">
        <v>1009</v>
      </c>
      <c r="O47" t="s">
        <v>189</v>
      </c>
      <c r="P47" t="s">
        <v>189</v>
      </c>
      <c r="Q47">
        <v>1</v>
      </c>
      <c r="Y47">
        <v>6.9</v>
      </c>
      <c r="AA47">
        <v>6.27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6.9</v>
      </c>
      <c r="AV47">
        <v>0</v>
      </c>
      <c r="AW47">
        <v>2</v>
      </c>
      <c r="AX47">
        <v>23486470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ROW(Source!A40)</f>
        <v>40</v>
      </c>
      <c r="B48">
        <v>23486471</v>
      </c>
      <c r="C48">
        <v>23485715</v>
      </c>
      <c r="D48">
        <v>15379098</v>
      </c>
      <c r="E48">
        <v>1</v>
      </c>
      <c r="F48">
        <v>1</v>
      </c>
      <c r="G48">
        <v>10962768</v>
      </c>
      <c r="H48">
        <v>3</v>
      </c>
      <c r="I48" t="s">
        <v>190</v>
      </c>
      <c r="J48" t="s">
        <v>191</v>
      </c>
      <c r="K48" t="s">
        <v>192</v>
      </c>
      <c r="L48">
        <v>1348</v>
      </c>
      <c r="N48">
        <v>1009</v>
      </c>
      <c r="O48" t="s">
        <v>44</v>
      </c>
      <c r="P48" t="s">
        <v>44</v>
      </c>
      <c r="Q48">
        <v>1000</v>
      </c>
      <c r="Y48">
        <v>0.035</v>
      </c>
      <c r="AA48">
        <v>18910.8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0.035</v>
      </c>
      <c r="AV48">
        <v>0</v>
      </c>
      <c r="AW48">
        <v>2</v>
      </c>
      <c r="AX48">
        <v>23486471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ROW(Source!A43)</f>
        <v>43</v>
      </c>
      <c r="B49">
        <v>23486476</v>
      </c>
      <c r="C49">
        <v>23485727</v>
      </c>
      <c r="D49">
        <v>11474139</v>
      </c>
      <c r="E49">
        <v>10962768</v>
      </c>
      <c r="F49">
        <v>1</v>
      </c>
      <c r="G49">
        <v>10962768</v>
      </c>
      <c r="H49">
        <v>1</v>
      </c>
      <c r="I49" t="s">
        <v>154</v>
      </c>
      <c r="K49" t="s">
        <v>155</v>
      </c>
      <c r="L49">
        <v>1191</v>
      </c>
      <c r="N49">
        <v>1013</v>
      </c>
      <c r="O49" t="s">
        <v>156</v>
      </c>
      <c r="P49" t="s">
        <v>156</v>
      </c>
      <c r="Q49">
        <v>1</v>
      </c>
      <c r="Y49">
        <v>0.332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0.83</v>
      </c>
      <c r="AU49" t="s">
        <v>95</v>
      </c>
      <c r="AV49">
        <v>1</v>
      </c>
      <c r="AW49">
        <v>2</v>
      </c>
      <c r="AX49">
        <v>23486476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ROW(Source!A43)</f>
        <v>43</v>
      </c>
      <c r="B50">
        <v>23486477</v>
      </c>
      <c r="C50">
        <v>23485727</v>
      </c>
      <c r="D50">
        <v>11551151</v>
      </c>
      <c r="E50">
        <v>1</v>
      </c>
      <c r="F50">
        <v>1</v>
      </c>
      <c r="G50">
        <v>10962768</v>
      </c>
      <c r="H50">
        <v>2</v>
      </c>
      <c r="I50" t="s">
        <v>193</v>
      </c>
      <c r="J50" t="s">
        <v>194</v>
      </c>
      <c r="K50" t="s">
        <v>195</v>
      </c>
      <c r="L50">
        <v>1368</v>
      </c>
      <c r="N50">
        <v>1011</v>
      </c>
      <c r="O50" t="s">
        <v>173</v>
      </c>
      <c r="P50" t="s">
        <v>173</v>
      </c>
      <c r="Q50">
        <v>1</v>
      </c>
      <c r="Y50">
        <v>0.0024000000000000002</v>
      </c>
      <c r="AA50">
        <v>0</v>
      </c>
      <c r="AB50">
        <v>74.44</v>
      </c>
      <c r="AC50">
        <v>17.59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0.006</v>
      </c>
      <c r="AU50" t="s">
        <v>95</v>
      </c>
      <c r="AV50">
        <v>0</v>
      </c>
      <c r="AW50">
        <v>2</v>
      </c>
      <c r="AX50">
        <v>23486477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ROW(Source!A43)</f>
        <v>43</v>
      </c>
      <c r="B51">
        <v>23486478</v>
      </c>
      <c r="C51">
        <v>23485727</v>
      </c>
      <c r="D51">
        <v>15380115</v>
      </c>
      <c r="E51">
        <v>1</v>
      </c>
      <c r="F51">
        <v>1</v>
      </c>
      <c r="G51">
        <v>10962768</v>
      </c>
      <c r="H51">
        <v>3</v>
      </c>
      <c r="I51" t="s">
        <v>196</v>
      </c>
      <c r="J51" t="s">
        <v>197</v>
      </c>
      <c r="K51" t="s">
        <v>198</v>
      </c>
      <c r="L51">
        <v>1348</v>
      </c>
      <c r="N51">
        <v>1009</v>
      </c>
      <c r="O51" t="s">
        <v>44</v>
      </c>
      <c r="P51" t="s">
        <v>44</v>
      </c>
      <c r="Q51">
        <v>1000</v>
      </c>
      <c r="Y51">
        <v>0.0004</v>
      </c>
      <c r="AA51">
        <v>22827.44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0.0004</v>
      </c>
      <c r="AV51">
        <v>0</v>
      </c>
      <c r="AW51">
        <v>2</v>
      </c>
      <c r="AX51">
        <v>23486478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ROW(Source!A43)</f>
        <v>43</v>
      </c>
      <c r="B52">
        <v>23486479</v>
      </c>
      <c r="C52">
        <v>23485727</v>
      </c>
      <c r="D52">
        <v>15378812</v>
      </c>
      <c r="E52">
        <v>1</v>
      </c>
      <c r="F52">
        <v>1</v>
      </c>
      <c r="G52">
        <v>10962768</v>
      </c>
      <c r="H52">
        <v>3</v>
      </c>
      <c r="I52" t="s">
        <v>199</v>
      </c>
      <c r="J52" t="s">
        <v>200</v>
      </c>
      <c r="K52" t="s">
        <v>201</v>
      </c>
      <c r="L52">
        <v>1348</v>
      </c>
      <c r="N52">
        <v>1009</v>
      </c>
      <c r="O52" t="s">
        <v>44</v>
      </c>
      <c r="P52" t="s">
        <v>44</v>
      </c>
      <c r="Q52">
        <v>1000</v>
      </c>
      <c r="Y52">
        <v>0.00012</v>
      </c>
      <c r="AA52">
        <v>25769.56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0.00012</v>
      </c>
      <c r="AV52">
        <v>0</v>
      </c>
      <c r="AW52">
        <v>2</v>
      </c>
      <c r="AX52">
        <v>23486479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ROW(Source!A43)</f>
        <v>43</v>
      </c>
      <c r="B53">
        <v>23486480</v>
      </c>
      <c r="C53">
        <v>23485727</v>
      </c>
      <c r="D53">
        <v>11492017</v>
      </c>
      <c r="E53">
        <v>10962768</v>
      </c>
      <c r="F53">
        <v>1</v>
      </c>
      <c r="G53">
        <v>10962768</v>
      </c>
      <c r="H53">
        <v>3</v>
      </c>
      <c r="I53" t="s">
        <v>202</v>
      </c>
      <c r="K53" t="s">
        <v>203</v>
      </c>
      <c r="L53">
        <v>1354</v>
      </c>
      <c r="N53">
        <v>1010</v>
      </c>
      <c r="O53" t="s">
        <v>93</v>
      </c>
      <c r="P53" t="s">
        <v>93</v>
      </c>
      <c r="Q53">
        <v>1</v>
      </c>
      <c r="Y53">
        <v>1</v>
      </c>
      <c r="AA53">
        <v>0</v>
      </c>
      <c r="AB53">
        <v>0</v>
      </c>
      <c r="AC53">
        <v>0</v>
      </c>
      <c r="AD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1</v>
      </c>
      <c r="AV53">
        <v>0</v>
      </c>
      <c r="AW53">
        <v>2</v>
      </c>
      <c r="AX53">
        <v>23486480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ROW(Source!A44)</f>
        <v>44</v>
      </c>
      <c r="B54">
        <v>23486482</v>
      </c>
      <c r="C54">
        <v>23485741</v>
      </c>
      <c r="D54">
        <v>11474139</v>
      </c>
      <c r="E54">
        <v>10962768</v>
      </c>
      <c r="F54">
        <v>1</v>
      </c>
      <c r="G54">
        <v>10962768</v>
      </c>
      <c r="H54">
        <v>1</v>
      </c>
      <c r="I54" t="s">
        <v>154</v>
      </c>
      <c r="K54" t="s">
        <v>155</v>
      </c>
      <c r="L54">
        <v>1191</v>
      </c>
      <c r="N54">
        <v>1013</v>
      </c>
      <c r="O54" t="s">
        <v>156</v>
      </c>
      <c r="P54" t="s">
        <v>156</v>
      </c>
      <c r="Q54">
        <v>1</v>
      </c>
      <c r="Y54">
        <v>1.564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1.36</v>
      </c>
      <c r="AU54" t="s">
        <v>68</v>
      </c>
      <c r="AV54">
        <v>1</v>
      </c>
      <c r="AW54">
        <v>2</v>
      </c>
      <c r="AX54">
        <v>23486482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ROW(Source!A44)</f>
        <v>44</v>
      </c>
      <c r="B55">
        <v>23486483</v>
      </c>
      <c r="C55">
        <v>23485741</v>
      </c>
      <c r="D55">
        <v>11551151</v>
      </c>
      <c r="E55">
        <v>1</v>
      </c>
      <c r="F55">
        <v>1</v>
      </c>
      <c r="G55">
        <v>10962768</v>
      </c>
      <c r="H55">
        <v>2</v>
      </c>
      <c r="I55" t="s">
        <v>193</v>
      </c>
      <c r="J55" t="s">
        <v>194</v>
      </c>
      <c r="K55" t="s">
        <v>195</v>
      </c>
      <c r="L55">
        <v>1368</v>
      </c>
      <c r="N55">
        <v>1011</v>
      </c>
      <c r="O55" t="s">
        <v>173</v>
      </c>
      <c r="P55" t="s">
        <v>173</v>
      </c>
      <c r="Q55">
        <v>1</v>
      </c>
      <c r="Y55">
        <v>0.0125</v>
      </c>
      <c r="AA55">
        <v>0</v>
      </c>
      <c r="AB55">
        <v>74.44</v>
      </c>
      <c r="AC55">
        <v>17.59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0.01</v>
      </c>
      <c r="AU55" t="s">
        <v>67</v>
      </c>
      <c r="AV55">
        <v>0</v>
      </c>
      <c r="AW55">
        <v>2</v>
      </c>
      <c r="AX55">
        <v>23486483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ROW(Source!A44)</f>
        <v>44</v>
      </c>
      <c r="B56">
        <v>23486484</v>
      </c>
      <c r="C56">
        <v>23485741</v>
      </c>
      <c r="D56">
        <v>15380115</v>
      </c>
      <c r="E56">
        <v>1</v>
      </c>
      <c r="F56">
        <v>1</v>
      </c>
      <c r="G56">
        <v>10962768</v>
      </c>
      <c r="H56">
        <v>3</v>
      </c>
      <c r="I56" t="s">
        <v>196</v>
      </c>
      <c r="J56" t="s">
        <v>197</v>
      </c>
      <c r="K56" t="s">
        <v>198</v>
      </c>
      <c r="L56">
        <v>1348</v>
      </c>
      <c r="N56">
        <v>1009</v>
      </c>
      <c r="O56" t="s">
        <v>44</v>
      </c>
      <c r="P56" t="s">
        <v>44</v>
      </c>
      <c r="Q56">
        <v>1000</v>
      </c>
      <c r="Y56">
        <v>0.0006</v>
      </c>
      <c r="AA56">
        <v>22827.44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0.0006</v>
      </c>
      <c r="AV56">
        <v>0</v>
      </c>
      <c r="AW56">
        <v>2</v>
      </c>
      <c r="AX56">
        <v>23486484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ROW(Source!A44)</f>
        <v>44</v>
      </c>
      <c r="B57">
        <v>23486485</v>
      </c>
      <c r="C57">
        <v>23485741</v>
      </c>
      <c r="D57">
        <v>15378812</v>
      </c>
      <c r="E57">
        <v>1</v>
      </c>
      <c r="F57">
        <v>1</v>
      </c>
      <c r="G57">
        <v>10962768</v>
      </c>
      <c r="H57">
        <v>3</v>
      </c>
      <c r="I57" t="s">
        <v>199</v>
      </c>
      <c r="J57" t="s">
        <v>200</v>
      </c>
      <c r="K57" t="s">
        <v>201</v>
      </c>
      <c r="L57">
        <v>1348</v>
      </c>
      <c r="N57">
        <v>1009</v>
      </c>
      <c r="O57" t="s">
        <v>44</v>
      </c>
      <c r="P57" t="s">
        <v>44</v>
      </c>
      <c r="Q57">
        <v>1000</v>
      </c>
      <c r="Y57">
        <v>0.00012</v>
      </c>
      <c r="AA57">
        <v>25769.56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0.00012</v>
      </c>
      <c r="AV57">
        <v>0</v>
      </c>
      <c r="AW57">
        <v>2</v>
      </c>
      <c r="AX57">
        <v>23486485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ROW(Source!A44)</f>
        <v>44</v>
      </c>
      <c r="B58">
        <v>23486486</v>
      </c>
      <c r="C58">
        <v>23485741</v>
      </c>
      <c r="D58">
        <v>11558187</v>
      </c>
      <c r="E58">
        <v>1</v>
      </c>
      <c r="F58">
        <v>1</v>
      </c>
      <c r="G58">
        <v>10962768</v>
      </c>
      <c r="H58">
        <v>3</v>
      </c>
      <c r="I58" t="s">
        <v>103</v>
      </c>
      <c r="J58" t="s">
        <v>105</v>
      </c>
      <c r="K58" t="s">
        <v>104</v>
      </c>
      <c r="L58">
        <v>1354</v>
      </c>
      <c r="N58">
        <v>1010</v>
      </c>
      <c r="O58" t="s">
        <v>93</v>
      </c>
      <c r="P58" t="s">
        <v>93</v>
      </c>
      <c r="Q58">
        <v>1</v>
      </c>
      <c r="Y58">
        <v>1</v>
      </c>
      <c r="AA58">
        <v>115.54</v>
      </c>
      <c r="AB58">
        <v>0</v>
      </c>
      <c r="AC58">
        <v>0</v>
      </c>
      <c r="AD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1</v>
      </c>
      <c r="AV58">
        <v>0</v>
      </c>
      <c r="AW58">
        <v>1</v>
      </c>
      <c r="AX58">
        <v>-1</v>
      </c>
      <c r="AY58">
        <v>0</v>
      </c>
      <c r="AZ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ROW(Source!A46)</f>
        <v>46</v>
      </c>
      <c r="B59">
        <v>23486488</v>
      </c>
      <c r="C59">
        <v>23485751</v>
      </c>
      <c r="D59">
        <v>11474139</v>
      </c>
      <c r="E59">
        <v>10962768</v>
      </c>
      <c r="F59">
        <v>1</v>
      </c>
      <c r="G59">
        <v>10962768</v>
      </c>
      <c r="H59">
        <v>1</v>
      </c>
      <c r="I59" t="s">
        <v>154</v>
      </c>
      <c r="K59" t="s">
        <v>155</v>
      </c>
      <c r="L59">
        <v>1191</v>
      </c>
      <c r="N59">
        <v>1013</v>
      </c>
      <c r="O59" t="s">
        <v>156</v>
      </c>
      <c r="P59" t="s">
        <v>156</v>
      </c>
      <c r="Q59">
        <v>1</v>
      </c>
      <c r="Y59">
        <v>1.02</v>
      </c>
      <c r="AA59">
        <v>0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1.02</v>
      </c>
      <c r="AV59">
        <v>1</v>
      </c>
      <c r="AW59">
        <v>2</v>
      </c>
      <c r="AX59">
        <v>23486488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23486419</v>
      </c>
      <c r="C1">
        <v>23485626</v>
      </c>
      <c r="D1">
        <v>11474139</v>
      </c>
      <c r="E1">
        <v>10962768</v>
      </c>
      <c r="F1">
        <v>1</v>
      </c>
      <c r="G1">
        <v>10962768</v>
      </c>
      <c r="H1">
        <v>1</v>
      </c>
      <c r="I1" t="s">
        <v>154</v>
      </c>
      <c r="K1" t="s">
        <v>155</v>
      </c>
      <c r="L1">
        <v>1191</v>
      </c>
      <c r="N1">
        <v>1013</v>
      </c>
      <c r="O1" t="s">
        <v>156</v>
      </c>
      <c r="P1" t="s">
        <v>156</v>
      </c>
      <c r="Q1">
        <v>1</v>
      </c>
      <c r="X1">
        <v>103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22</v>
      </c>
      <c r="AG1">
        <v>82.4</v>
      </c>
      <c r="AH1">
        <v>2</v>
      </c>
      <c r="AI1">
        <v>23486419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23486420</v>
      </c>
      <c r="C2">
        <v>23485626</v>
      </c>
      <c r="D2">
        <v>11555019</v>
      </c>
      <c r="E2">
        <v>1</v>
      </c>
      <c r="F2">
        <v>1</v>
      </c>
      <c r="G2">
        <v>10962768</v>
      </c>
      <c r="H2">
        <v>3</v>
      </c>
      <c r="I2" t="s">
        <v>157</v>
      </c>
      <c r="J2" t="s">
        <v>158</v>
      </c>
      <c r="K2" t="s">
        <v>159</v>
      </c>
      <c r="L2">
        <v>1339</v>
      </c>
      <c r="N2">
        <v>1007</v>
      </c>
      <c r="O2" t="s">
        <v>85</v>
      </c>
      <c r="P2" t="s">
        <v>85</v>
      </c>
      <c r="Q2">
        <v>1</v>
      </c>
      <c r="X2">
        <v>3.3</v>
      </c>
      <c r="Y2">
        <v>451.14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21</v>
      </c>
      <c r="AG2">
        <v>0</v>
      </c>
      <c r="AH2">
        <v>2</v>
      </c>
      <c r="AI2">
        <v>23486420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23486421</v>
      </c>
      <c r="C3">
        <v>23485626</v>
      </c>
      <c r="D3">
        <v>11499496</v>
      </c>
      <c r="E3">
        <v>10962768</v>
      </c>
      <c r="F3">
        <v>1</v>
      </c>
      <c r="G3">
        <v>10962768</v>
      </c>
      <c r="H3">
        <v>3</v>
      </c>
      <c r="I3" t="s">
        <v>160</v>
      </c>
      <c r="K3" t="s">
        <v>161</v>
      </c>
      <c r="L3">
        <v>1354</v>
      </c>
      <c r="N3">
        <v>1010</v>
      </c>
      <c r="O3" t="s">
        <v>93</v>
      </c>
      <c r="P3" t="s">
        <v>93</v>
      </c>
      <c r="Q3">
        <v>1</v>
      </c>
      <c r="X3">
        <v>100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t="s">
        <v>21</v>
      </c>
      <c r="AG3">
        <v>0</v>
      </c>
      <c r="AH3">
        <v>2</v>
      </c>
      <c r="AI3">
        <v>23486421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23486423</v>
      </c>
      <c r="C4">
        <v>23485631</v>
      </c>
      <c r="D4">
        <v>11474139</v>
      </c>
      <c r="E4">
        <v>10962768</v>
      </c>
      <c r="F4">
        <v>1</v>
      </c>
      <c r="G4">
        <v>10962768</v>
      </c>
      <c r="H4">
        <v>1</v>
      </c>
      <c r="I4" t="s">
        <v>154</v>
      </c>
      <c r="K4" t="s">
        <v>155</v>
      </c>
      <c r="L4">
        <v>1191</v>
      </c>
      <c r="N4">
        <v>1013</v>
      </c>
      <c r="O4" t="s">
        <v>156</v>
      </c>
      <c r="P4" t="s">
        <v>156</v>
      </c>
      <c r="Q4">
        <v>1</v>
      </c>
      <c r="X4">
        <v>17.41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G4">
        <v>17.41</v>
      </c>
      <c r="AH4">
        <v>2</v>
      </c>
      <c r="AI4">
        <v>23486423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ROW(Source!A25)</f>
        <v>25</v>
      </c>
      <c r="B5">
        <v>23486424</v>
      </c>
      <c r="C5">
        <v>23485631</v>
      </c>
      <c r="D5">
        <v>11500203</v>
      </c>
      <c r="E5">
        <v>10962768</v>
      </c>
      <c r="F5">
        <v>1</v>
      </c>
      <c r="G5">
        <v>10962768</v>
      </c>
      <c r="H5">
        <v>3</v>
      </c>
      <c r="I5" t="s">
        <v>162</v>
      </c>
      <c r="K5" t="s">
        <v>163</v>
      </c>
      <c r="L5">
        <v>1348</v>
      </c>
      <c r="N5">
        <v>1009</v>
      </c>
      <c r="O5" t="s">
        <v>44</v>
      </c>
      <c r="P5" t="s">
        <v>44</v>
      </c>
      <c r="Q5">
        <v>1000</v>
      </c>
      <c r="X5">
        <v>1.02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1.02</v>
      </c>
      <c r="AH5">
        <v>2</v>
      </c>
      <c r="AI5">
        <v>23486424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23486425</v>
      </c>
      <c r="C6">
        <v>23485636</v>
      </c>
      <c r="D6">
        <v>11474139</v>
      </c>
      <c r="E6">
        <v>10962768</v>
      </c>
      <c r="F6">
        <v>1</v>
      </c>
      <c r="G6">
        <v>10962768</v>
      </c>
      <c r="H6">
        <v>1</v>
      </c>
      <c r="I6" t="s">
        <v>154</v>
      </c>
      <c r="K6" t="s">
        <v>155</v>
      </c>
      <c r="L6">
        <v>1191</v>
      </c>
      <c r="N6">
        <v>1013</v>
      </c>
      <c r="O6" t="s">
        <v>156</v>
      </c>
      <c r="P6" t="s">
        <v>156</v>
      </c>
      <c r="Q6">
        <v>1</v>
      </c>
      <c r="X6">
        <v>45.45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G6">
        <v>45.45</v>
      </c>
      <c r="AH6">
        <v>2</v>
      </c>
      <c r="AI6">
        <v>23486425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23486428</v>
      </c>
      <c r="C7">
        <v>23485636</v>
      </c>
      <c r="D7">
        <v>11500203</v>
      </c>
      <c r="E7">
        <v>10962768</v>
      </c>
      <c r="F7">
        <v>1</v>
      </c>
      <c r="G7">
        <v>10962768</v>
      </c>
      <c r="H7">
        <v>3</v>
      </c>
      <c r="I7" t="s">
        <v>162</v>
      </c>
      <c r="K7" t="s">
        <v>163</v>
      </c>
      <c r="L7">
        <v>1348</v>
      </c>
      <c r="N7">
        <v>1009</v>
      </c>
      <c r="O7" t="s">
        <v>44</v>
      </c>
      <c r="P7" t="s">
        <v>44</v>
      </c>
      <c r="Q7">
        <v>1000</v>
      </c>
      <c r="X7">
        <v>0.162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0.162</v>
      </c>
      <c r="AH7">
        <v>2</v>
      </c>
      <c r="AI7">
        <v>23486428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23486426</v>
      </c>
      <c r="C8">
        <v>23485636</v>
      </c>
      <c r="D8">
        <v>11474615</v>
      </c>
      <c r="E8">
        <v>10962768</v>
      </c>
      <c r="F8">
        <v>1</v>
      </c>
      <c r="G8">
        <v>10962768</v>
      </c>
      <c r="H8">
        <v>3</v>
      </c>
      <c r="I8" t="s">
        <v>204</v>
      </c>
      <c r="K8" t="s">
        <v>205</v>
      </c>
      <c r="L8">
        <v>1348</v>
      </c>
      <c r="N8">
        <v>1009</v>
      </c>
      <c r="O8" t="s">
        <v>44</v>
      </c>
      <c r="P8" t="s">
        <v>44</v>
      </c>
      <c r="Q8">
        <v>1000</v>
      </c>
      <c r="X8">
        <v>0.132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G8">
        <v>0.132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23486427</v>
      </c>
      <c r="C9">
        <v>23485636</v>
      </c>
      <c r="D9">
        <v>15378653</v>
      </c>
      <c r="E9">
        <v>1</v>
      </c>
      <c r="F9">
        <v>1</v>
      </c>
      <c r="G9">
        <v>10962768</v>
      </c>
      <c r="H9">
        <v>3</v>
      </c>
      <c r="I9" t="s">
        <v>164</v>
      </c>
      <c r="J9" t="s">
        <v>165</v>
      </c>
      <c r="K9" t="s">
        <v>166</v>
      </c>
      <c r="L9">
        <v>1348</v>
      </c>
      <c r="N9">
        <v>1009</v>
      </c>
      <c r="O9" t="s">
        <v>44</v>
      </c>
      <c r="P9" t="s">
        <v>44</v>
      </c>
      <c r="Q9">
        <v>1000</v>
      </c>
      <c r="X9">
        <v>0.004</v>
      </c>
      <c r="Y9">
        <v>6521.42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0.004</v>
      </c>
      <c r="AH9">
        <v>2</v>
      </c>
      <c r="AI9">
        <v>23486427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23486430</v>
      </c>
      <c r="C10">
        <v>23485647</v>
      </c>
      <c r="D10">
        <v>11474139</v>
      </c>
      <c r="E10">
        <v>10962768</v>
      </c>
      <c r="F10">
        <v>1</v>
      </c>
      <c r="G10">
        <v>10962768</v>
      </c>
      <c r="H10">
        <v>1</v>
      </c>
      <c r="I10" t="s">
        <v>154</v>
      </c>
      <c r="K10" t="s">
        <v>155</v>
      </c>
      <c r="L10">
        <v>1191</v>
      </c>
      <c r="N10">
        <v>1013</v>
      </c>
      <c r="O10" t="s">
        <v>156</v>
      </c>
      <c r="P10" t="s">
        <v>156</v>
      </c>
      <c r="Q10">
        <v>1</v>
      </c>
      <c r="X10">
        <v>17.41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G10">
        <v>17.41</v>
      </c>
      <c r="AH10">
        <v>2</v>
      </c>
      <c r="AI10">
        <v>23486430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23486431</v>
      </c>
      <c r="C11">
        <v>23485647</v>
      </c>
      <c r="D11">
        <v>11500203</v>
      </c>
      <c r="E11">
        <v>10962768</v>
      </c>
      <c r="F11">
        <v>1</v>
      </c>
      <c r="G11">
        <v>10962768</v>
      </c>
      <c r="H11">
        <v>3</v>
      </c>
      <c r="I11" t="s">
        <v>162</v>
      </c>
      <c r="K11" t="s">
        <v>163</v>
      </c>
      <c r="L11">
        <v>1348</v>
      </c>
      <c r="N11">
        <v>1009</v>
      </c>
      <c r="O11" t="s">
        <v>44</v>
      </c>
      <c r="P11" t="s">
        <v>44</v>
      </c>
      <c r="Q11">
        <v>1000</v>
      </c>
      <c r="X11">
        <v>1.02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1.02</v>
      </c>
      <c r="AH11">
        <v>2</v>
      </c>
      <c r="AI11">
        <v>23486431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23486432</v>
      </c>
      <c r="C12">
        <v>23485662</v>
      </c>
      <c r="D12">
        <v>11474139</v>
      </c>
      <c r="E12">
        <v>10962768</v>
      </c>
      <c r="F12">
        <v>1</v>
      </c>
      <c r="G12">
        <v>10962768</v>
      </c>
      <c r="H12">
        <v>1</v>
      </c>
      <c r="I12" t="s">
        <v>154</v>
      </c>
      <c r="K12" t="s">
        <v>155</v>
      </c>
      <c r="L12">
        <v>1191</v>
      </c>
      <c r="N12">
        <v>1013</v>
      </c>
      <c r="O12" t="s">
        <v>156</v>
      </c>
      <c r="P12" t="s">
        <v>156</v>
      </c>
      <c r="Q12">
        <v>1</v>
      </c>
      <c r="X12">
        <v>63.22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G12">
        <v>63.22</v>
      </c>
      <c r="AH12">
        <v>2</v>
      </c>
      <c r="AI12">
        <v>23486432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ROW(Source!A29)</f>
        <v>29</v>
      </c>
      <c r="B13">
        <v>23486436</v>
      </c>
      <c r="C13">
        <v>23485662</v>
      </c>
      <c r="D13">
        <v>11500203</v>
      </c>
      <c r="E13">
        <v>10962768</v>
      </c>
      <c r="F13">
        <v>1</v>
      </c>
      <c r="G13">
        <v>10962768</v>
      </c>
      <c r="H13">
        <v>3</v>
      </c>
      <c r="I13" t="s">
        <v>162</v>
      </c>
      <c r="K13" t="s">
        <v>163</v>
      </c>
      <c r="L13">
        <v>1348</v>
      </c>
      <c r="N13">
        <v>1009</v>
      </c>
      <c r="O13" t="s">
        <v>44</v>
      </c>
      <c r="P13" t="s">
        <v>44</v>
      </c>
      <c r="Q13">
        <v>1000</v>
      </c>
      <c r="X13">
        <v>0.33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0.33</v>
      </c>
      <c r="AH13">
        <v>2</v>
      </c>
      <c r="AI13">
        <v>23486436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23486433</v>
      </c>
      <c r="C14">
        <v>23485662</v>
      </c>
      <c r="D14">
        <v>11474615</v>
      </c>
      <c r="E14">
        <v>10962768</v>
      </c>
      <c r="F14">
        <v>1</v>
      </c>
      <c r="G14">
        <v>10962768</v>
      </c>
      <c r="H14">
        <v>3</v>
      </c>
      <c r="I14" t="s">
        <v>204</v>
      </c>
      <c r="K14" t="s">
        <v>205</v>
      </c>
      <c r="L14">
        <v>1348</v>
      </c>
      <c r="N14">
        <v>1009</v>
      </c>
      <c r="O14" t="s">
        <v>44</v>
      </c>
      <c r="P14" t="s">
        <v>44</v>
      </c>
      <c r="Q14">
        <v>1000</v>
      </c>
      <c r="X14">
        <v>0.324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0.324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23486434</v>
      </c>
      <c r="C15">
        <v>23485662</v>
      </c>
      <c r="D15">
        <v>15378653</v>
      </c>
      <c r="E15">
        <v>1</v>
      </c>
      <c r="F15">
        <v>1</v>
      </c>
      <c r="G15">
        <v>10962768</v>
      </c>
      <c r="H15">
        <v>3</v>
      </c>
      <c r="I15" t="s">
        <v>164</v>
      </c>
      <c r="J15" t="s">
        <v>165</v>
      </c>
      <c r="K15" t="s">
        <v>166</v>
      </c>
      <c r="L15">
        <v>1348</v>
      </c>
      <c r="N15">
        <v>1009</v>
      </c>
      <c r="O15" t="s">
        <v>44</v>
      </c>
      <c r="P15" t="s">
        <v>44</v>
      </c>
      <c r="Q15">
        <v>1000</v>
      </c>
      <c r="X15">
        <v>0.004</v>
      </c>
      <c r="Y15">
        <v>6521.42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0.004</v>
      </c>
      <c r="AH15">
        <v>2</v>
      </c>
      <c r="AI15">
        <v>23486434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23486435</v>
      </c>
      <c r="C16">
        <v>23485662</v>
      </c>
      <c r="D16">
        <v>15379420</v>
      </c>
      <c r="E16">
        <v>1</v>
      </c>
      <c r="F16">
        <v>1</v>
      </c>
      <c r="G16">
        <v>10962768</v>
      </c>
      <c r="H16">
        <v>3</v>
      </c>
      <c r="I16" t="s">
        <v>167</v>
      </c>
      <c r="J16" t="s">
        <v>168</v>
      </c>
      <c r="K16" t="s">
        <v>169</v>
      </c>
      <c r="L16">
        <v>1348</v>
      </c>
      <c r="N16">
        <v>1009</v>
      </c>
      <c r="O16" t="s">
        <v>44</v>
      </c>
      <c r="P16" t="s">
        <v>44</v>
      </c>
      <c r="Q16">
        <v>1000</v>
      </c>
      <c r="X16">
        <v>0.006</v>
      </c>
      <c r="Y16">
        <v>8559.28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0.006</v>
      </c>
      <c r="AH16">
        <v>2</v>
      </c>
      <c r="AI16">
        <v>23486435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23486438</v>
      </c>
      <c r="C17">
        <v>23485667</v>
      </c>
      <c r="D17">
        <v>11474139</v>
      </c>
      <c r="E17">
        <v>10962768</v>
      </c>
      <c r="F17">
        <v>1</v>
      </c>
      <c r="G17">
        <v>10962768</v>
      </c>
      <c r="H17">
        <v>1</v>
      </c>
      <c r="I17" t="s">
        <v>154</v>
      </c>
      <c r="K17" t="s">
        <v>155</v>
      </c>
      <c r="L17">
        <v>1191</v>
      </c>
      <c r="N17">
        <v>1013</v>
      </c>
      <c r="O17" t="s">
        <v>156</v>
      </c>
      <c r="P17" t="s">
        <v>156</v>
      </c>
      <c r="Q17">
        <v>1</v>
      </c>
      <c r="X17">
        <v>18.6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G17">
        <v>18.6</v>
      </c>
      <c r="AH17">
        <v>2</v>
      </c>
      <c r="AI17">
        <v>23486438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23486440</v>
      </c>
      <c r="C18">
        <v>23485667</v>
      </c>
      <c r="D18">
        <v>11500203</v>
      </c>
      <c r="E18">
        <v>10962768</v>
      </c>
      <c r="F18">
        <v>1</v>
      </c>
      <c r="G18">
        <v>10962768</v>
      </c>
      <c r="H18">
        <v>3</v>
      </c>
      <c r="I18" t="s">
        <v>162</v>
      </c>
      <c r="K18" t="s">
        <v>163</v>
      </c>
      <c r="L18">
        <v>1348</v>
      </c>
      <c r="N18">
        <v>1009</v>
      </c>
      <c r="O18" t="s">
        <v>44</v>
      </c>
      <c r="P18" t="s">
        <v>44</v>
      </c>
      <c r="Q18">
        <v>1000</v>
      </c>
      <c r="X18">
        <v>0.052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0.052</v>
      </c>
      <c r="AH18">
        <v>2</v>
      </c>
      <c r="AI18">
        <v>23486440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23486439</v>
      </c>
      <c r="C19">
        <v>23485667</v>
      </c>
      <c r="D19">
        <v>11474615</v>
      </c>
      <c r="E19">
        <v>10962768</v>
      </c>
      <c r="F19">
        <v>1</v>
      </c>
      <c r="G19">
        <v>10962768</v>
      </c>
      <c r="H19">
        <v>3</v>
      </c>
      <c r="I19" t="s">
        <v>204</v>
      </c>
      <c r="K19" t="s">
        <v>205</v>
      </c>
      <c r="L19">
        <v>1348</v>
      </c>
      <c r="N19">
        <v>1009</v>
      </c>
      <c r="O19" t="s">
        <v>44</v>
      </c>
      <c r="P19" t="s">
        <v>44</v>
      </c>
      <c r="Q19">
        <v>1000</v>
      </c>
      <c r="X19">
        <v>0.052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0.052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ROW(Source!A33)</f>
        <v>33</v>
      </c>
      <c r="B20">
        <v>23486442</v>
      </c>
      <c r="C20">
        <v>23485677</v>
      </c>
      <c r="D20">
        <v>11474139</v>
      </c>
      <c r="E20">
        <v>10962768</v>
      </c>
      <c r="F20">
        <v>1</v>
      </c>
      <c r="G20">
        <v>10962768</v>
      </c>
      <c r="H20">
        <v>1</v>
      </c>
      <c r="I20" t="s">
        <v>154</v>
      </c>
      <c r="K20" t="s">
        <v>155</v>
      </c>
      <c r="L20">
        <v>1191</v>
      </c>
      <c r="N20">
        <v>1013</v>
      </c>
      <c r="O20" t="s">
        <v>156</v>
      </c>
      <c r="P20" t="s">
        <v>156</v>
      </c>
      <c r="Q20">
        <v>1</v>
      </c>
      <c r="X20">
        <v>113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1</v>
      </c>
      <c r="AG20">
        <v>113</v>
      </c>
      <c r="AH20">
        <v>2</v>
      </c>
      <c r="AI20">
        <v>23486442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ROW(Source!A33)</f>
        <v>33</v>
      </c>
      <c r="B21">
        <v>23486443</v>
      </c>
      <c r="C21">
        <v>23485677</v>
      </c>
      <c r="D21">
        <v>11550830</v>
      </c>
      <c r="E21">
        <v>1</v>
      </c>
      <c r="F21">
        <v>1</v>
      </c>
      <c r="G21">
        <v>10962768</v>
      </c>
      <c r="H21">
        <v>2</v>
      </c>
      <c r="I21" t="s">
        <v>170</v>
      </c>
      <c r="J21" t="s">
        <v>171</v>
      </c>
      <c r="K21" t="s">
        <v>172</v>
      </c>
      <c r="L21">
        <v>1368</v>
      </c>
      <c r="N21">
        <v>1011</v>
      </c>
      <c r="O21" t="s">
        <v>173</v>
      </c>
      <c r="P21" t="s">
        <v>173</v>
      </c>
      <c r="Q21">
        <v>1</v>
      </c>
      <c r="X21">
        <v>1.19</v>
      </c>
      <c r="Y21">
        <v>0</v>
      </c>
      <c r="Z21">
        <v>41.62</v>
      </c>
      <c r="AA21">
        <v>13.33</v>
      </c>
      <c r="AB21">
        <v>0</v>
      </c>
      <c r="AC21">
        <v>0</v>
      </c>
      <c r="AD21">
        <v>1</v>
      </c>
      <c r="AE21">
        <v>0</v>
      </c>
      <c r="AG21">
        <v>1.19</v>
      </c>
      <c r="AH21">
        <v>2</v>
      </c>
      <c r="AI21">
        <v>23486443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ROW(Source!A33)</f>
        <v>33</v>
      </c>
      <c r="B22">
        <v>23486444</v>
      </c>
      <c r="C22">
        <v>23485677</v>
      </c>
      <c r="D22">
        <v>11551223</v>
      </c>
      <c r="E22">
        <v>1</v>
      </c>
      <c r="F22">
        <v>1</v>
      </c>
      <c r="G22">
        <v>10962768</v>
      </c>
      <c r="H22">
        <v>2</v>
      </c>
      <c r="I22" t="s">
        <v>174</v>
      </c>
      <c r="J22" t="s">
        <v>175</v>
      </c>
      <c r="K22" t="s">
        <v>176</v>
      </c>
      <c r="L22">
        <v>1368</v>
      </c>
      <c r="N22">
        <v>1011</v>
      </c>
      <c r="O22" t="s">
        <v>173</v>
      </c>
      <c r="P22" t="s">
        <v>173</v>
      </c>
      <c r="Q22">
        <v>1</v>
      </c>
      <c r="X22">
        <v>1.19</v>
      </c>
      <c r="Y22">
        <v>0</v>
      </c>
      <c r="Z22">
        <v>3.16</v>
      </c>
      <c r="AA22">
        <v>0.04</v>
      </c>
      <c r="AB22">
        <v>0</v>
      </c>
      <c r="AC22">
        <v>0</v>
      </c>
      <c r="AD22">
        <v>1</v>
      </c>
      <c r="AE22">
        <v>0</v>
      </c>
      <c r="AG22">
        <v>1.19</v>
      </c>
      <c r="AH22">
        <v>2</v>
      </c>
      <c r="AI22">
        <v>23486444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ROW(Source!A33)</f>
        <v>33</v>
      </c>
      <c r="B23">
        <v>23486445</v>
      </c>
      <c r="C23">
        <v>23485677</v>
      </c>
      <c r="D23">
        <v>11550606</v>
      </c>
      <c r="E23">
        <v>1</v>
      </c>
      <c r="F23">
        <v>1</v>
      </c>
      <c r="G23">
        <v>10962768</v>
      </c>
      <c r="H23">
        <v>2</v>
      </c>
      <c r="I23" t="s">
        <v>177</v>
      </c>
      <c r="J23" t="s">
        <v>178</v>
      </c>
      <c r="K23" t="s">
        <v>179</v>
      </c>
      <c r="L23">
        <v>1368</v>
      </c>
      <c r="N23">
        <v>1011</v>
      </c>
      <c r="O23" t="s">
        <v>173</v>
      </c>
      <c r="P23" t="s">
        <v>173</v>
      </c>
      <c r="Q23">
        <v>1</v>
      </c>
      <c r="X23">
        <v>1.18</v>
      </c>
      <c r="Y23">
        <v>0</v>
      </c>
      <c r="Z23">
        <v>1.28</v>
      </c>
      <c r="AA23">
        <v>0.67</v>
      </c>
      <c r="AB23">
        <v>0</v>
      </c>
      <c r="AC23">
        <v>0</v>
      </c>
      <c r="AD23">
        <v>1</v>
      </c>
      <c r="AE23">
        <v>0</v>
      </c>
      <c r="AG23">
        <v>1.18</v>
      </c>
      <c r="AH23">
        <v>2</v>
      </c>
      <c r="AI23">
        <v>23486445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ROW(Source!A33)</f>
        <v>33</v>
      </c>
      <c r="B24">
        <v>23486448</v>
      </c>
      <c r="C24">
        <v>23485677</v>
      </c>
      <c r="D24">
        <v>11500203</v>
      </c>
      <c r="E24">
        <v>10962768</v>
      </c>
      <c r="F24">
        <v>1</v>
      </c>
      <c r="G24">
        <v>10962768</v>
      </c>
      <c r="H24">
        <v>3</v>
      </c>
      <c r="I24" t="s">
        <v>162</v>
      </c>
      <c r="K24" t="s">
        <v>163</v>
      </c>
      <c r="L24">
        <v>1348</v>
      </c>
      <c r="N24">
        <v>1009</v>
      </c>
      <c r="O24" t="s">
        <v>44</v>
      </c>
      <c r="P24" t="s">
        <v>44</v>
      </c>
      <c r="Q24">
        <v>1000</v>
      </c>
      <c r="X24">
        <v>1.28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1.28</v>
      </c>
      <c r="AH24">
        <v>2</v>
      </c>
      <c r="AI24">
        <v>23486448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ROW(Source!A33)</f>
        <v>33</v>
      </c>
      <c r="B25">
        <v>23486446</v>
      </c>
      <c r="C25">
        <v>23485677</v>
      </c>
      <c r="D25">
        <v>15379771</v>
      </c>
      <c r="E25">
        <v>1</v>
      </c>
      <c r="F25">
        <v>1</v>
      </c>
      <c r="G25">
        <v>10962768</v>
      </c>
      <c r="H25">
        <v>3</v>
      </c>
      <c r="I25" t="s">
        <v>180</v>
      </c>
      <c r="J25" t="s">
        <v>181</v>
      </c>
      <c r="K25" t="s">
        <v>182</v>
      </c>
      <c r="L25">
        <v>1348</v>
      </c>
      <c r="N25">
        <v>1009</v>
      </c>
      <c r="O25" t="s">
        <v>44</v>
      </c>
      <c r="P25" t="s">
        <v>44</v>
      </c>
      <c r="Q25">
        <v>1000</v>
      </c>
      <c r="X25">
        <v>0.021</v>
      </c>
      <c r="Y25">
        <v>315.2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0.021</v>
      </c>
      <c r="AH25">
        <v>2</v>
      </c>
      <c r="AI25">
        <v>23486446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23486447</v>
      </c>
      <c r="C26">
        <v>23485677</v>
      </c>
      <c r="D26">
        <v>11555019</v>
      </c>
      <c r="E26">
        <v>1</v>
      </c>
      <c r="F26">
        <v>1</v>
      </c>
      <c r="G26">
        <v>10962768</v>
      </c>
      <c r="H26">
        <v>3</v>
      </c>
      <c r="I26" t="s">
        <v>157</v>
      </c>
      <c r="J26" t="s">
        <v>158</v>
      </c>
      <c r="K26" t="s">
        <v>159</v>
      </c>
      <c r="L26">
        <v>1339</v>
      </c>
      <c r="N26">
        <v>1007</v>
      </c>
      <c r="O26" t="s">
        <v>85</v>
      </c>
      <c r="P26" t="s">
        <v>85</v>
      </c>
      <c r="Q26">
        <v>1</v>
      </c>
      <c r="X26">
        <v>2.14</v>
      </c>
      <c r="Y26">
        <v>451.14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2.14</v>
      </c>
      <c r="AH26">
        <v>2</v>
      </c>
      <c r="AI26">
        <v>23486447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23486449</v>
      </c>
      <c r="C27">
        <v>23485685</v>
      </c>
      <c r="D27">
        <v>11474139</v>
      </c>
      <c r="E27">
        <v>10962768</v>
      </c>
      <c r="F27">
        <v>1</v>
      </c>
      <c r="G27">
        <v>10962768</v>
      </c>
      <c r="H27">
        <v>1</v>
      </c>
      <c r="I27" t="s">
        <v>154</v>
      </c>
      <c r="K27" t="s">
        <v>155</v>
      </c>
      <c r="L27">
        <v>1191</v>
      </c>
      <c r="N27">
        <v>1013</v>
      </c>
      <c r="O27" t="s">
        <v>156</v>
      </c>
      <c r="P27" t="s">
        <v>156</v>
      </c>
      <c r="Q27">
        <v>1</v>
      </c>
      <c r="X27">
        <v>53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68</v>
      </c>
      <c r="AG27">
        <v>60.949999999999996</v>
      </c>
      <c r="AH27">
        <v>2</v>
      </c>
      <c r="AI27">
        <v>23486449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ROW(Source!A34)</f>
        <v>34</v>
      </c>
      <c r="B28">
        <v>23486450</v>
      </c>
      <c r="C28">
        <v>23485685</v>
      </c>
      <c r="D28">
        <v>11476092</v>
      </c>
      <c r="E28">
        <v>10962768</v>
      </c>
      <c r="F28">
        <v>1</v>
      </c>
      <c r="G28">
        <v>10962768</v>
      </c>
      <c r="H28">
        <v>2</v>
      </c>
      <c r="I28" t="s">
        <v>183</v>
      </c>
      <c r="K28" t="s">
        <v>184</v>
      </c>
      <c r="L28">
        <v>1344</v>
      </c>
      <c r="N28">
        <v>1008</v>
      </c>
      <c r="O28" t="s">
        <v>185</v>
      </c>
      <c r="P28" t="s">
        <v>185</v>
      </c>
      <c r="Q28">
        <v>1</v>
      </c>
      <c r="X28">
        <v>267.17</v>
      </c>
      <c r="Y28">
        <v>0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67</v>
      </c>
      <c r="AG28">
        <v>333.96250000000003</v>
      </c>
      <c r="AH28">
        <v>2</v>
      </c>
      <c r="AI28">
        <v>23486450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ROW(Source!A34)</f>
        <v>34</v>
      </c>
      <c r="B29">
        <v>23486451</v>
      </c>
      <c r="C29">
        <v>23485685</v>
      </c>
      <c r="D29">
        <v>15380978</v>
      </c>
      <c r="E29">
        <v>1</v>
      </c>
      <c r="F29">
        <v>1</v>
      </c>
      <c r="G29">
        <v>10962768</v>
      </c>
      <c r="H29">
        <v>3</v>
      </c>
      <c r="I29" t="s">
        <v>186</v>
      </c>
      <c r="J29" t="s">
        <v>187</v>
      </c>
      <c r="K29" t="s">
        <v>188</v>
      </c>
      <c r="L29">
        <v>1346</v>
      </c>
      <c r="N29">
        <v>1009</v>
      </c>
      <c r="O29" t="s">
        <v>189</v>
      </c>
      <c r="P29" t="s">
        <v>189</v>
      </c>
      <c r="Q29">
        <v>1</v>
      </c>
      <c r="X29">
        <v>6.9</v>
      </c>
      <c r="Y29">
        <v>6.27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6.9</v>
      </c>
      <c r="AH29">
        <v>2</v>
      </c>
      <c r="AI29">
        <v>23486451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ROW(Source!A34)</f>
        <v>34</v>
      </c>
      <c r="B30">
        <v>23486452</v>
      </c>
      <c r="C30">
        <v>23485685</v>
      </c>
      <c r="D30">
        <v>15379098</v>
      </c>
      <c r="E30">
        <v>1</v>
      </c>
      <c r="F30">
        <v>1</v>
      </c>
      <c r="G30">
        <v>10962768</v>
      </c>
      <c r="H30">
        <v>3</v>
      </c>
      <c r="I30" t="s">
        <v>190</v>
      </c>
      <c r="J30" t="s">
        <v>191</v>
      </c>
      <c r="K30" t="s">
        <v>192</v>
      </c>
      <c r="L30">
        <v>1348</v>
      </c>
      <c r="N30">
        <v>1009</v>
      </c>
      <c r="O30" t="s">
        <v>44</v>
      </c>
      <c r="P30" t="s">
        <v>44</v>
      </c>
      <c r="Q30">
        <v>1000</v>
      </c>
      <c r="X30">
        <v>0.035</v>
      </c>
      <c r="Y30">
        <v>18910.8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0.035</v>
      </c>
      <c r="AH30">
        <v>2</v>
      </c>
      <c r="AI30">
        <v>23486452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ROW(Source!A34)</f>
        <v>34</v>
      </c>
      <c r="B31">
        <v>23486453</v>
      </c>
      <c r="C31">
        <v>23485685</v>
      </c>
      <c r="D31">
        <v>11497038</v>
      </c>
      <c r="E31">
        <v>10962768</v>
      </c>
      <c r="F31">
        <v>1</v>
      </c>
      <c r="G31">
        <v>10962768</v>
      </c>
      <c r="H31">
        <v>3</v>
      </c>
      <c r="I31" t="s">
        <v>206</v>
      </c>
      <c r="K31" t="s">
        <v>207</v>
      </c>
      <c r="L31">
        <v>1327</v>
      </c>
      <c r="N31">
        <v>1005</v>
      </c>
      <c r="O31" t="s">
        <v>74</v>
      </c>
      <c r="P31" t="s">
        <v>74</v>
      </c>
      <c r="Q31">
        <v>1</v>
      </c>
      <c r="X31">
        <v>135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G31">
        <v>135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ROW(Source!A34)</f>
        <v>34</v>
      </c>
      <c r="B32">
        <v>23486454</v>
      </c>
      <c r="C32">
        <v>23485685</v>
      </c>
      <c r="D32">
        <v>11497041</v>
      </c>
      <c r="E32">
        <v>10962768</v>
      </c>
      <c r="F32">
        <v>1</v>
      </c>
      <c r="G32">
        <v>10962768</v>
      </c>
      <c r="H32">
        <v>3</v>
      </c>
      <c r="I32" t="s">
        <v>206</v>
      </c>
      <c r="K32" t="s">
        <v>208</v>
      </c>
      <c r="L32">
        <v>1327</v>
      </c>
      <c r="N32">
        <v>1005</v>
      </c>
      <c r="O32" t="s">
        <v>74</v>
      </c>
      <c r="P32" t="s">
        <v>74</v>
      </c>
      <c r="Q32">
        <v>1</v>
      </c>
      <c r="X32">
        <v>132.3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G32">
        <v>132.3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ROW(Source!A37)</f>
        <v>37</v>
      </c>
      <c r="B33">
        <v>23486457</v>
      </c>
      <c r="C33">
        <v>23485697</v>
      </c>
      <c r="D33">
        <v>11474139</v>
      </c>
      <c r="E33">
        <v>10962768</v>
      </c>
      <c r="F33">
        <v>1</v>
      </c>
      <c r="G33">
        <v>10962768</v>
      </c>
      <c r="H33">
        <v>1</v>
      </c>
      <c r="I33" t="s">
        <v>154</v>
      </c>
      <c r="K33" t="s">
        <v>155</v>
      </c>
      <c r="L33">
        <v>1191</v>
      </c>
      <c r="N33">
        <v>1013</v>
      </c>
      <c r="O33" t="s">
        <v>156</v>
      </c>
      <c r="P33" t="s">
        <v>156</v>
      </c>
      <c r="Q33">
        <v>1</v>
      </c>
      <c r="X33">
        <v>113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G33">
        <v>113</v>
      </c>
      <c r="AH33">
        <v>2</v>
      </c>
      <c r="AI33">
        <v>23486457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ROW(Source!A37)</f>
        <v>37</v>
      </c>
      <c r="B34">
        <v>23486458</v>
      </c>
      <c r="C34">
        <v>23485697</v>
      </c>
      <c r="D34">
        <v>11550830</v>
      </c>
      <c r="E34">
        <v>1</v>
      </c>
      <c r="F34">
        <v>1</v>
      </c>
      <c r="G34">
        <v>10962768</v>
      </c>
      <c r="H34">
        <v>2</v>
      </c>
      <c r="I34" t="s">
        <v>170</v>
      </c>
      <c r="J34" t="s">
        <v>171</v>
      </c>
      <c r="K34" t="s">
        <v>172</v>
      </c>
      <c r="L34">
        <v>1368</v>
      </c>
      <c r="N34">
        <v>1011</v>
      </c>
      <c r="O34" t="s">
        <v>173</v>
      </c>
      <c r="P34" t="s">
        <v>173</v>
      </c>
      <c r="Q34">
        <v>1</v>
      </c>
      <c r="X34">
        <v>1.19</v>
      </c>
      <c r="Y34">
        <v>0</v>
      </c>
      <c r="Z34">
        <v>41.62</v>
      </c>
      <c r="AA34">
        <v>13.33</v>
      </c>
      <c r="AB34">
        <v>0</v>
      </c>
      <c r="AC34">
        <v>0</v>
      </c>
      <c r="AD34">
        <v>1</v>
      </c>
      <c r="AE34">
        <v>0</v>
      </c>
      <c r="AG34">
        <v>1.19</v>
      </c>
      <c r="AH34">
        <v>2</v>
      </c>
      <c r="AI34">
        <v>23486458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ROW(Source!A37)</f>
        <v>37</v>
      </c>
      <c r="B35">
        <v>23486459</v>
      </c>
      <c r="C35">
        <v>23485697</v>
      </c>
      <c r="D35">
        <v>11551223</v>
      </c>
      <c r="E35">
        <v>1</v>
      </c>
      <c r="F35">
        <v>1</v>
      </c>
      <c r="G35">
        <v>10962768</v>
      </c>
      <c r="H35">
        <v>2</v>
      </c>
      <c r="I35" t="s">
        <v>174</v>
      </c>
      <c r="J35" t="s">
        <v>175</v>
      </c>
      <c r="K35" t="s">
        <v>176</v>
      </c>
      <c r="L35">
        <v>1368</v>
      </c>
      <c r="N35">
        <v>1011</v>
      </c>
      <c r="O35" t="s">
        <v>173</v>
      </c>
      <c r="P35" t="s">
        <v>173</v>
      </c>
      <c r="Q35">
        <v>1</v>
      </c>
      <c r="X35">
        <v>1.19</v>
      </c>
      <c r="Y35">
        <v>0</v>
      </c>
      <c r="Z35">
        <v>3.16</v>
      </c>
      <c r="AA35">
        <v>0.04</v>
      </c>
      <c r="AB35">
        <v>0</v>
      </c>
      <c r="AC35">
        <v>0</v>
      </c>
      <c r="AD35">
        <v>1</v>
      </c>
      <c r="AE35">
        <v>0</v>
      </c>
      <c r="AG35">
        <v>1.19</v>
      </c>
      <c r="AH35">
        <v>2</v>
      </c>
      <c r="AI35">
        <v>23486459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ROW(Source!A37)</f>
        <v>37</v>
      </c>
      <c r="B36">
        <v>23486460</v>
      </c>
      <c r="C36">
        <v>23485697</v>
      </c>
      <c r="D36">
        <v>11550606</v>
      </c>
      <c r="E36">
        <v>1</v>
      </c>
      <c r="F36">
        <v>1</v>
      </c>
      <c r="G36">
        <v>10962768</v>
      </c>
      <c r="H36">
        <v>2</v>
      </c>
      <c r="I36" t="s">
        <v>177</v>
      </c>
      <c r="J36" t="s">
        <v>178</v>
      </c>
      <c r="K36" t="s">
        <v>179</v>
      </c>
      <c r="L36">
        <v>1368</v>
      </c>
      <c r="N36">
        <v>1011</v>
      </c>
      <c r="O36" t="s">
        <v>173</v>
      </c>
      <c r="P36" t="s">
        <v>173</v>
      </c>
      <c r="Q36">
        <v>1</v>
      </c>
      <c r="X36">
        <v>1.18</v>
      </c>
      <c r="Y36">
        <v>0</v>
      </c>
      <c r="Z36">
        <v>1.28</v>
      </c>
      <c r="AA36">
        <v>0.67</v>
      </c>
      <c r="AB36">
        <v>0</v>
      </c>
      <c r="AC36">
        <v>0</v>
      </c>
      <c r="AD36">
        <v>1</v>
      </c>
      <c r="AE36">
        <v>0</v>
      </c>
      <c r="AG36">
        <v>1.18</v>
      </c>
      <c r="AH36">
        <v>2</v>
      </c>
      <c r="AI36">
        <v>23486460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ROW(Source!A37)</f>
        <v>37</v>
      </c>
      <c r="B37">
        <v>23486463</v>
      </c>
      <c r="C37">
        <v>23485697</v>
      </c>
      <c r="D37">
        <v>11500203</v>
      </c>
      <c r="E37">
        <v>10962768</v>
      </c>
      <c r="F37">
        <v>1</v>
      </c>
      <c r="G37">
        <v>10962768</v>
      </c>
      <c r="H37">
        <v>3</v>
      </c>
      <c r="I37" t="s">
        <v>162</v>
      </c>
      <c r="K37" t="s">
        <v>163</v>
      </c>
      <c r="L37">
        <v>1348</v>
      </c>
      <c r="N37">
        <v>1009</v>
      </c>
      <c r="O37" t="s">
        <v>44</v>
      </c>
      <c r="P37" t="s">
        <v>44</v>
      </c>
      <c r="Q37">
        <v>1000</v>
      </c>
      <c r="X37">
        <v>1.28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1.28</v>
      </c>
      <c r="AH37">
        <v>2</v>
      </c>
      <c r="AI37">
        <v>23486463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ROW(Source!A37)</f>
        <v>37</v>
      </c>
      <c r="B38">
        <v>23486461</v>
      </c>
      <c r="C38">
        <v>23485697</v>
      </c>
      <c r="D38">
        <v>15379771</v>
      </c>
      <c r="E38">
        <v>1</v>
      </c>
      <c r="F38">
        <v>1</v>
      </c>
      <c r="G38">
        <v>10962768</v>
      </c>
      <c r="H38">
        <v>3</v>
      </c>
      <c r="I38" t="s">
        <v>180</v>
      </c>
      <c r="J38" t="s">
        <v>181</v>
      </c>
      <c r="K38" t="s">
        <v>182</v>
      </c>
      <c r="L38">
        <v>1348</v>
      </c>
      <c r="N38">
        <v>1009</v>
      </c>
      <c r="O38" t="s">
        <v>44</v>
      </c>
      <c r="P38" t="s">
        <v>44</v>
      </c>
      <c r="Q38">
        <v>1000</v>
      </c>
      <c r="X38">
        <v>0.021</v>
      </c>
      <c r="Y38">
        <v>315.2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0.021</v>
      </c>
      <c r="AH38">
        <v>2</v>
      </c>
      <c r="AI38">
        <v>23486461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ROW(Source!A37)</f>
        <v>37</v>
      </c>
      <c r="B39">
        <v>23486462</v>
      </c>
      <c r="C39">
        <v>23485697</v>
      </c>
      <c r="D39">
        <v>11555019</v>
      </c>
      <c r="E39">
        <v>1</v>
      </c>
      <c r="F39">
        <v>1</v>
      </c>
      <c r="G39">
        <v>10962768</v>
      </c>
      <c r="H39">
        <v>3</v>
      </c>
      <c r="I39" t="s">
        <v>157</v>
      </c>
      <c r="J39" t="s">
        <v>158</v>
      </c>
      <c r="K39" t="s">
        <v>159</v>
      </c>
      <c r="L39">
        <v>1339</v>
      </c>
      <c r="N39">
        <v>1007</v>
      </c>
      <c r="O39" t="s">
        <v>85</v>
      </c>
      <c r="P39" t="s">
        <v>85</v>
      </c>
      <c r="Q39">
        <v>1</v>
      </c>
      <c r="X39">
        <v>2.14</v>
      </c>
      <c r="Y39">
        <v>451.14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2.14</v>
      </c>
      <c r="AH39">
        <v>2</v>
      </c>
      <c r="AI39">
        <v>23486462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ROW(Source!A38)</f>
        <v>38</v>
      </c>
      <c r="B40">
        <v>23486464</v>
      </c>
      <c r="C40">
        <v>23485707</v>
      </c>
      <c r="D40">
        <v>11474139</v>
      </c>
      <c r="E40">
        <v>10962768</v>
      </c>
      <c r="F40">
        <v>1</v>
      </c>
      <c r="G40">
        <v>10962768</v>
      </c>
      <c r="H40">
        <v>1</v>
      </c>
      <c r="I40" t="s">
        <v>154</v>
      </c>
      <c r="K40" t="s">
        <v>155</v>
      </c>
      <c r="L40">
        <v>1191</v>
      </c>
      <c r="N40">
        <v>1013</v>
      </c>
      <c r="O40" t="s">
        <v>156</v>
      </c>
      <c r="P40" t="s">
        <v>156</v>
      </c>
      <c r="Q40">
        <v>1</v>
      </c>
      <c r="X40">
        <v>103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1</v>
      </c>
      <c r="AF40" t="s">
        <v>68</v>
      </c>
      <c r="AG40">
        <v>118.44999999999999</v>
      </c>
      <c r="AH40">
        <v>2</v>
      </c>
      <c r="AI40">
        <v>23486464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ROW(Source!A38)</f>
        <v>38</v>
      </c>
      <c r="B41">
        <v>23486465</v>
      </c>
      <c r="C41">
        <v>23485707</v>
      </c>
      <c r="D41">
        <v>11555019</v>
      </c>
      <c r="E41">
        <v>1</v>
      </c>
      <c r="F41">
        <v>1</v>
      </c>
      <c r="G41">
        <v>10962768</v>
      </c>
      <c r="H41">
        <v>3</v>
      </c>
      <c r="I41" t="s">
        <v>157</v>
      </c>
      <c r="J41" t="s">
        <v>158</v>
      </c>
      <c r="K41" t="s">
        <v>159</v>
      </c>
      <c r="L41">
        <v>1339</v>
      </c>
      <c r="N41">
        <v>1007</v>
      </c>
      <c r="O41" t="s">
        <v>85</v>
      </c>
      <c r="P41" t="s">
        <v>85</v>
      </c>
      <c r="Q41">
        <v>1</v>
      </c>
      <c r="X41">
        <v>3.3</v>
      </c>
      <c r="Y41">
        <v>451.14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3.3</v>
      </c>
      <c r="AH41">
        <v>2</v>
      </c>
      <c r="AI41">
        <v>23486465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ROW(Source!A38)</f>
        <v>38</v>
      </c>
      <c r="B42">
        <v>23486466</v>
      </c>
      <c r="C42">
        <v>23485707</v>
      </c>
      <c r="D42">
        <v>11499496</v>
      </c>
      <c r="E42">
        <v>10962768</v>
      </c>
      <c r="F42">
        <v>1</v>
      </c>
      <c r="G42">
        <v>10962768</v>
      </c>
      <c r="H42">
        <v>3</v>
      </c>
      <c r="I42" t="s">
        <v>160</v>
      </c>
      <c r="K42" t="s">
        <v>161</v>
      </c>
      <c r="L42">
        <v>1354</v>
      </c>
      <c r="N42">
        <v>1010</v>
      </c>
      <c r="O42" t="s">
        <v>93</v>
      </c>
      <c r="P42" t="s">
        <v>93</v>
      </c>
      <c r="Q42">
        <v>1</v>
      </c>
      <c r="X42">
        <v>100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G42">
        <v>100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ROW(Source!A40)</f>
        <v>40</v>
      </c>
      <c r="B43">
        <v>23486468</v>
      </c>
      <c r="C43">
        <v>23485715</v>
      </c>
      <c r="D43">
        <v>11474139</v>
      </c>
      <c r="E43">
        <v>10962768</v>
      </c>
      <c r="F43">
        <v>1</v>
      </c>
      <c r="G43">
        <v>10962768</v>
      </c>
      <c r="H43">
        <v>1</v>
      </c>
      <c r="I43" t="s">
        <v>154</v>
      </c>
      <c r="K43" t="s">
        <v>155</v>
      </c>
      <c r="L43">
        <v>1191</v>
      </c>
      <c r="N43">
        <v>1013</v>
      </c>
      <c r="O43" t="s">
        <v>156</v>
      </c>
      <c r="P43" t="s">
        <v>156</v>
      </c>
      <c r="Q43">
        <v>1</v>
      </c>
      <c r="X43">
        <v>53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 t="s">
        <v>68</v>
      </c>
      <c r="AG43">
        <v>60.949999999999996</v>
      </c>
      <c r="AH43">
        <v>2</v>
      </c>
      <c r="AI43">
        <v>23486468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ROW(Source!A40)</f>
        <v>40</v>
      </c>
      <c r="B44">
        <v>23486469</v>
      </c>
      <c r="C44">
        <v>23485715</v>
      </c>
      <c r="D44">
        <v>11476092</v>
      </c>
      <c r="E44">
        <v>10962768</v>
      </c>
      <c r="F44">
        <v>1</v>
      </c>
      <c r="G44">
        <v>10962768</v>
      </c>
      <c r="H44">
        <v>2</v>
      </c>
      <c r="I44" t="s">
        <v>183</v>
      </c>
      <c r="K44" t="s">
        <v>184</v>
      </c>
      <c r="L44">
        <v>1344</v>
      </c>
      <c r="N44">
        <v>1008</v>
      </c>
      <c r="O44" t="s">
        <v>185</v>
      </c>
      <c r="P44" t="s">
        <v>185</v>
      </c>
      <c r="Q44">
        <v>1</v>
      </c>
      <c r="X44">
        <v>267.17</v>
      </c>
      <c r="Y44">
        <v>0</v>
      </c>
      <c r="Z44">
        <v>1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67</v>
      </c>
      <c r="AG44">
        <v>333.96250000000003</v>
      </c>
      <c r="AH44">
        <v>2</v>
      </c>
      <c r="AI44">
        <v>23486469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ROW(Source!A40)</f>
        <v>40</v>
      </c>
      <c r="B45">
        <v>23486470</v>
      </c>
      <c r="C45">
        <v>23485715</v>
      </c>
      <c r="D45">
        <v>15380978</v>
      </c>
      <c r="E45">
        <v>1</v>
      </c>
      <c r="F45">
        <v>1</v>
      </c>
      <c r="G45">
        <v>10962768</v>
      </c>
      <c r="H45">
        <v>3</v>
      </c>
      <c r="I45" t="s">
        <v>186</v>
      </c>
      <c r="J45" t="s">
        <v>187</v>
      </c>
      <c r="K45" t="s">
        <v>188</v>
      </c>
      <c r="L45">
        <v>1346</v>
      </c>
      <c r="N45">
        <v>1009</v>
      </c>
      <c r="O45" t="s">
        <v>189</v>
      </c>
      <c r="P45" t="s">
        <v>189</v>
      </c>
      <c r="Q45">
        <v>1</v>
      </c>
      <c r="X45">
        <v>6.9</v>
      </c>
      <c r="Y45">
        <v>6.27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6.9</v>
      </c>
      <c r="AH45">
        <v>2</v>
      </c>
      <c r="AI45">
        <v>23486470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ROW(Source!A40)</f>
        <v>40</v>
      </c>
      <c r="B46">
        <v>23486471</v>
      </c>
      <c r="C46">
        <v>23485715</v>
      </c>
      <c r="D46">
        <v>15379098</v>
      </c>
      <c r="E46">
        <v>1</v>
      </c>
      <c r="F46">
        <v>1</v>
      </c>
      <c r="G46">
        <v>10962768</v>
      </c>
      <c r="H46">
        <v>3</v>
      </c>
      <c r="I46" t="s">
        <v>190</v>
      </c>
      <c r="J46" t="s">
        <v>191</v>
      </c>
      <c r="K46" t="s">
        <v>192</v>
      </c>
      <c r="L46">
        <v>1348</v>
      </c>
      <c r="N46">
        <v>1009</v>
      </c>
      <c r="O46" t="s">
        <v>44</v>
      </c>
      <c r="P46" t="s">
        <v>44</v>
      </c>
      <c r="Q46">
        <v>1000</v>
      </c>
      <c r="X46">
        <v>0.035</v>
      </c>
      <c r="Y46">
        <v>18910.8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0.035</v>
      </c>
      <c r="AH46">
        <v>2</v>
      </c>
      <c r="AI46">
        <v>23486471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ROW(Source!A40)</f>
        <v>40</v>
      </c>
      <c r="B47">
        <v>23486472</v>
      </c>
      <c r="C47">
        <v>23485715</v>
      </c>
      <c r="D47">
        <v>11497038</v>
      </c>
      <c r="E47">
        <v>10962768</v>
      </c>
      <c r="F47">
        <v>1</v>
      </c>
      <c r="G47">
        <v>10962768</v>
      </c>
      <c r="H47">
        <v>3</v>
      </c>
      <c r="I47" t="s">
        <v>206</v>
      </c>
      <c r="K47" t="s">
        <v>207</v>
      </c>
      <c r="L47">
        <v>1327</v>
      </c>
      <c r="N47">
        <v>1005</v>
      </c>
      <c r="O47" t="s">
        <v>74</v>
      </c>
      <c r="P47" t="s">
        <v>74</v>
      </c>
      <c r="Q47">
        <v>1</v>
      </c>
      <c r="X47">
        <v>135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G47">
        <v>135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ROW(Source!A40)</f>
        <v>40</v>
      </c>
      <c r="B48">
        <v>23486473</v>
      </c>
      <c r="C48">
        <v>23485715</v>
      </c>
      <c r="D48">
        <v>11497041</v>
      </c>
      <c r="E48">
        <v>10962768</v>
      </c>
      <c r="F48">
        <v>1</v>
      </c>
      <c r="G48">
        <v>10962768</v>
      </c>
      <c r="H48">
        <v>3</v>
      </c>
      <c r="I48" t="s">
        <v>206</v>
      </c>
      <c r="K48" t="s">
        <v>208</v>
      </c>
      <c r="L48">
        <v>1327</v>
      </c>
      <c r="N48">
        <v>1005</v>
      </c>
      <c r="O48" t="s">
        <v>74</v>
      </c>
      <c r="P48" t="s">
        <v>74</v>
      </c>
      <c r="Q48">
        <v>1</v>
      </c>
      <c r="X48">
        <v>132.3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132.3</v>
      </c>
      <c r="AH48">
        <v>3</v>
      </c>
      <c r="AI48">
        <v>-1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ROW(Source!A43)</f>
        <v>43</v>
      </c>
      <c r="B49">
        <v>23486476</v>
      </c>
      <c r="C49">
        <v>23485727</v>
      </c>
      <c r="D49">
        <v>11474139</v>
      </c>
      <c r="E49">
        <v>10962768</v>
      </c>
      <c r="F49">
        <v>1</v>
      </c>
      <c r="G49">
        <v>10962768</v>
      </c>
      <c r="H49">
        <v>1</v>
      </c>
      <c r="I49" t="s">
        <v>154</v>
      </c>
      <c r="K49" t="s">
        <v>155</v>
      </c>
      <c r="L49">
        <v>1191</v>
      </c>
      <c r="N49">
        <v>1013</v>
      </c>
      <c r="O49" t="s">
        <v>156</v>
      </c>
      <c r="P49" t="s">
        <v>156</v>
      </c>
      <c r="Q49">
        <v>1</v>
      </c>
      <c r="X49">
        <v>0.83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95</v>
      </c>
      <c r="AG49">
        <v>0.332</v>
      </c>
      <c r="AH49">
        <v>2</v>
      </c>
      <c r="AI49">
        <v>23486476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ROW(Source!A43)</f>
        <v>43</v>
      </c>
      <c r="B50">
        <v>23486477</v>
      </c>
      <c r="C50">
        <v>23485727</v>
      </c>
      <c r="D50">
        <v>11551151</v>
      </c>
      <c r="E50">
        <v>1</v>
      </c>
      <c r="F50">
        <v>1</v>
      </c>
      <c r="G50">
        <v>10962768</v>
      </c>
      <c r="H50">
        <v>2</v>
      </c>
      <c r="I50" t="s">
        <v>193</v>
      </c>
      <c r="J50" t="s">
        <v>194</v>
      </c>
      <c r="K50" t="s">
        <v>195</v>
      </c>
      <c r="L50">
        <v>1368</v>
      </c>
      <c r="N50">
        <v>1011</v>
      </c>
      <c r="O50" t="s">
        <v>173</v>
      </c>
      <c r="P50" t="s">
        <v>173</v>
      </c>
      <c r="Q50">
        <v>1</v>
      </c>
      <c r="X50">
        <v>0.006</v>
      </c>
      <c r="Y50">
        <v>0</v>
      </c>
      <c r="Z50">
        <v>74.44</v>
      </c>
      <c r="AA50">
        <v>17.59</v>
      </c>
      <c r="AB50">
        <v>0</v>
      </c>
      <c r="AC50">
        <v>0</v>
      </c>
      <c r="AD50">
        <v>1</v>
      </c>
      <c r="AE50">
        <v>0</v>
      </c>
      <c r="AF50" t="s">
        <v>95</v>
      </c>
      <c r="AG50">
        <v>0.0024000000000000002</v>
      </c>
      <c r="AH50">
        <v>2</v>
      </c>
      <c r="AI50">
        <v>23486477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ROW(Source!A43)</f>
        <v>43</v>
      </c>
      <c r="B51">
        <v>23486478</v>
      </c>
      <c r="C51">
        <v>23485727</v>
      </c>
      <c r="D51">
        <v>15380115</v>
      </c>
      <c r="E51">
        <v>1</v>
      </c>
      <c r="F51">
        <v>1</v>
      </c>
      <c r="G51">
        <v>10962768</v>
      </c>
      <c r="H51">
        <v>3</v>
      </c>
      <c r="I51" t="s">
        <v>196</v>
      </c>
      <c r="J51" t="s">
        <v>197</v>
      </c>
      <c r="K51" t="s">
        <v>198</v>
      </c>
      <c r="L51">
        <v>1348</v>
      </c>
      <c r="N51">
        <v>1009</v>
      </c>
      <c r="O51" t="s">
        <v>44</v>
      </c>
      <c r="P51" t="s">
        <v>44</v>
      </c>
      <c r="Q51">
        <v>1000</v>
      </c>
      <c r="X51">
        <v>0.0004</v>
      </c>
      <c r="Y51">
        <v>22827.44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0.0004</v>
      </c>
      <c r="AH51">
        <v>2</v>
      </c>
      <c r="AI51">
        <v>23486478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ROW(Source!A43)</f>
        <v>43</v>
      </c>
      <c r="B52">
        <v>23486479</v>
      </c>
      <c r="C52">
        <v>23485727</v>
      </c>
      <c r="D52">
        <v>15378812</v>
      </c>
      <c r="E52">
        <v>1</v>
      </c>
      <c r="F52">
        <v>1</v>
      </c>
      <c r="G52">
        <v>10962768</v>
      </c>
      <c r="H52">
        <v>3</v>
      </c>
      <c r="I52" t="s">
        <v>199</v>
      </c>
      <c r="J52" t="s">
        <v>200</v>
      </c>
      <c r="K52" t="s">
        <v>201</v>
      </c>
      <c r="L52">
        <v>1348</v>
      </c>
      <c r="N52">
        <v>1009</v>
      </c>
      <c r="O52" t="s">
        <v>44</v>
      </c>
      <c r="P52" t="s">
        <v>44</v>
      </c>
      <c r="Q52">
        <v>1000</v>
      </c>
      <c r="X52">
        <v>0.00012</v>
      </c>
      <c r="Y52">
        <v>25769.56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0.00012</v>
      </c>
      <c r="AH52">
        <v>2</v>
      </c>
      <c r="AI52">
        <v>23486479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ROW(Source!A43)</f>
        <v>43</v>
      </c>
      <c r="B53">
        <v>23486480</v>
      </c>
      <c r="C53">
        <v>23485727</v>
      </c>
      <c r="D53">
        <v>11492017</v>
      </c>
      <c r="E53">
        <v>10962768</v>
      </c>
      <c r="F53">
        <v>1</v>
      </c>
      <c r="G53">
        <v>10962768</v>
      </c>
      <c r="H53">
        <v>3</v>
      </c>
      <c r="I53" t="s">
        <v>202</v>
      </c>
      <c r="K53" t="s">
        <v>203</v>
      </c>
      <c r="L53">
        <v>1354</v>
      </c>
      <c r="N53">
        <v>1010</v>
      </c>
      <c r="O53" t="s">
        <v>93</v>
      </c>
      <c r="P53" t="s">
        <v>93</v>
      </c>
      <c r="Q53">
        <v>1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G53">
        <v>1</v>
      </c>
      <c r="AH53">
        <v>2</v>
      </c>
      <c r="AI53">
        <v>23486480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ROW(Source!A44)</f>
        <v>44</v>
      </c>
      <c r="B54">
        <v>23486482</v>
      </c>
      <c r="C54">
        <v>23485741</v>
      </c>
      <c r="D54">
        <v>11474139</v>
      </c>
      <c r="E54">
        <v>10962768</v>
      </c>
      <c r="F54">
        <v>1</v>
      </c>
      <c r="G54">
        <v>10962768</v>
      </c>
      <c r="H54">
        <v>1</v>
      </c>
      <c r="I54" t="s">
        <v>154</v>
      </c>
      <c r="K54" t="s">
        <v>155</v>
      </c>
      <c r="L54">
        <v>1191</v>
      </c>
      <c r="N54">
        <v>1013</v>
      </c>
      <c r="O54" t="s">
        <v>156</v>
      </c>
      <c r="P54" t="s">
        <v>156</v>
      </c>
      <c r="Q54">
        <v>1</v>
      </c>
      <c r="X54">
        <v>1.36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1</v>
      </c>
      <c r="AF54" t="s">
        <v>68</v>
      </c>
      <c r="AG54">
        <v>1.564</v>
      </c>
      <c r="AH54">
        <v>2</v>
      </c>
      <c r="AI54">
        <v>23486482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ROW(Source!A44)</f>
        <v>44</v>
      </c>
      <c r="B55">
        <v>23486483</v>
      </c>
      <c r="C55">
        <v>23485741</v>
      </c>
      <c r="D55">
        <v>11551151</v>
      </c>
      <c r="E55">
        <v>1</v>
      </c>
      <c r="F55">
        <v>1</v>
      </c>
      <c r="G55">
        <v>10962768</v>
      </c>
      <c r="H55">
        <v>2</v>
      </c>
      <c r="I55" t="s">
        <v>193</v>
      </c>
      <c r="J55" t="s">
        <v>194</v>
      </c>
      <c r="K55" t="s">
        <v>195</v>
      </c>
      <c r="L55">
        <v>1368</v>
      </c>
      <c r="N55">
        <v>1011</v>
      </c>
      <c r="O55" t="s">
        <v>173</v>
      </c>
      <c r="P55" t="s">
        <v>173</v>
      </c>
      <c r="Q55">
        <v>1</v>
      </c>
      <c r="X55">
        <v>0.01</v>
      </c>
      <c r="Y55">
        <v>0</v>
      </c>
      <c r="Z55">
        <v>74.44</v>
      </c>
      <c r="AA55">
        <v>17.59</v>
      </c>
      <c r="AB55">
        <v>0</v>
      </c>
      <c r="AC55">
        <v>0</v>
      </c>
      <c r="AD55">
        <v>1</v>
      </c>
      <c r="AE55">
        <v>0</v>
      </c>
      <c r="AF55" t="s">
        <v>67</v>
      </c>
      <c r="AG55">
        <v>0.0125</v>
      </c>
      <c r="AH55">
        <v>2</v>
      </c>
      <c r="AI55">
        <v>23486483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ROW(Source!A44)</f>
        <v>44</v>
      </c>
      <c r="B56">
        <v>23486484</v>
      </c>
      <c r="C56">
        <v>23485741</v>
      </c>
      <c r="D56">
        <v>15380115</v>
      </c>
      <c r="E56">
        <v>1</v>
      </c>
      <c r="F56">
        <v>1</v>
      </c>
      <c r="G56">
        <v>10962768</v>
      </c>
      <c r="H56">
        <v>3</v>
      </c>
      <c r="I56" t="s">
        <v>196</v>
      </c>
      <c r="J56" t="s">
        <v>197</v>
      </c>
      <c r="K56" t="s">
        <v>198</v>
      </c>
      <c r="L56">
        <v>1348</v>
      </c>
      <c r="N56">
        <v>1009</v>
      </c>
      <c r="O56" t="s">
        <v>44</v>
      </c>
      <c r="P56" t="s">
        <v>44</v>
      </c>
      <c r="Q56">
        <v>1000</v>
      </c>
      <c r="X56">
        <v>0.0006</v>
      </c>
      <c r="Y56">
        <v>22827.44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0.0006</v>
      </c>
      <c r="AH56">
        <v>2</v>
      </c>
      <c r="AI56">
        <v>23486484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ROW(Source!A44)</f>
        <v>44</v>
      </c>
      <c r="B57">
        <v>23486485</v>
      </c>
      <c r="C57">
        <v>23485741</v>
      </c>
      <c r="D57">
        <v>15378812</v>
      </c>
      <c r="E57">
        <v>1</v>
      </c>
      <c r="F57">
        <v>1</v>
      </c>
      <c r="G57">
        <v>10962768</v>
      </c>
      <c r="H57">
        <v>3</v>
      </c>
      <c r="I57" t="s">
        <v>199</v>
      </c>
      <c r="J57" t="s">
        <v>200</v>
      </c>
      <c r="K57" t="s">
        <v>201</v>
      </c>
      <c r="L57">
        <v>1348</v>
      </c>
      <c r="N57">
        <v>1009</v>
      </c>
      <c r="O57" t="s">
        <v>44</v>
      </c>
      <c r="P57" t="s">
        <v>44</v>
      </c>
      <c r="Q57">
        <v>1000</v>
      </c>
      <c r="X57">
        <v>0.00012</v>
      </c>
      <c r="Y57">
        <v>25769.56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0.00012</v>
      </c>
      <c r="AH57">
        <v>2</v>
      </c>
      <c r="AI57">
        <v>23486485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ROW(Source!A44)</f>
        <v>44</v>
      </c>
      <c r="B58">
        <v>23486486</v>
      </c>
      <c r="C58">
        <v>23485741</v>
      </c>
      <c r="D58">
        <v>11492017</v>
      </c>
      <c r="E58">
        <v>10962768</v>
      </c>
      <c r="F58">
        <v>1</v>
      </c>
      <c r="G58">
        <v>10962768</v>
      </c>
      <c r="H58">
        <v>3</v>
      </c>
      <c r="I58" t="s">
        <v>202</v>
      </c>
      <c r="K58" t="s">
        <v>203</v>
      </c>
      <c r="L58">
        <v>1354</v>
      </c>
      <c r="N58">
        <v>1010</v>
      </c>
      <c r="O58" t="s">
        <v>93</v>
      </c>
      <c r="P58" t="s">
        <v>93</v>
      </c>
      <c r="Q58">
        <v>1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1</v>
      </c>
      <c r="AH58">
        <v>3</v>
      </c>
      <c r="AI58">
        <v>-1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ROW(Source!A46)</f>
        <v>46</v>
      </c>
      <c r="B59">
        <v>23486488</v>
      </c>
      <c r="C59">
        <v>23485751</v>
      </c>
      <c r="D59">
        <v>11474139</v>
      </c>
      <c r="E59">
        <v>10962768</v>
      </c>
      <c r="F59">
        <v>1</v>
      </c>
      <c r="G59">
        <v>10962768</v>
      </c>
      <c r="H59">
        <v>1</v>
      </c>
      <c r="I59" t="s">
        <v>154</v>
      </c>
      <c r="K59" t="s">
        <v>155</v>
      </c>
      <c r="L59">
        <v>1191</v>
      </c>
      <c r="N59">
        <v>1013</v>
      </c>
      <c r="O59" t="s">
        <v>156</v>
      </c>
      <c r="P59" t="s">
        <v>156</v>
      </c>
      <c r="Q59">
        <v>1</v>
      </c>
      <c r="X59">
        <v>1.02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G59">
        <v>1.02</v>
      </c>
      <c r="AH59">
        <v>2</v>
      </c>
      <c r="AI59">
        <v>23486488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2013-07-11T06:50:35Z</cp:lastPrinted>
  <dcterms:modified xsi:type="dcterms:W3CDTF">2013-07-22T05:54:00Z</dcterms:modified>
  <cp:category/>
  <cp:version/>
  <cp:contentType/>
  <cp:contentStatus/>
</cp:coreProperties>
</file>