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80" activeTab="0"/>
  </bookViews>
  <sheets>
    <sheet name="Смета по ТСН-2001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ТСН-2001'!$23:$23</definedName>
    <definedName name="_xlnm.Print_Area" localSheetId="0">'Смета по ТСН-2001'!$A$1:$K$97</definedName>
  </definedNames>
  <calcPr fullCalcOnLoad="1"/>
</workbook>
</file>

<file path=xl/sharedStrings.xml><?xml version="1.0" encoding="utf-8"?>
<sst xmlns="http://schemas.openxmlformats.org/spreadsheetml/2006/main" count="671" uniqueCount="148">
  <si>
    <t>Smeta.RU  (495) 974-1589</t>
  </si>
  <si>
    <t>_PS_</t>
  </si>
  <si>
    <t>Smeta.RU</t>
  </si>
  <si>
    <t/>
  </si>
  <si>
    <t>ДОМ №10 (ТСН-2001. ТЕРРИТОРИАЛЬНЫЕ СМЕТНЫЕ НОРМАТИВЫ ДЛЯ МОС</t>
  </si>
  <si>
    <t>ДОМ №10 Смета на пожарную сигнализацию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</si>
  <si>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</si>
  <si>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</si>
  <si>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</si>
  <si>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 [ДОМ №10 Смета на пожарную сигнализацию]</t>
  </si>
  <si>
    <t>ТСН-2001</t>
  </si>
  <si>
    <t>Поправки для ТСН-2001</t>
  </si>
  <si>
    <t>ПОЖАРНАЯ СИГНАЛИЗАЦИЯ</t>
  </si>
  <si>
    <t>1</t>
  </si>
  <si>
    <t>4.10-84-2</t>
  </si>
  <si>
    <t>ПРОВОДА ПРИ ОТКРЫТОЙ ПРОВОДКЕ ДЛЯ СИСТЕМ ОПС: ПРОВОД ДВУХ- И ТРЕХЖИЛЬНЫЙ С РАЗДЕЛИТЕЛЬНЫМ ОСНОВАНИЕМ ПО СТЕНАМ И ПОТОЛКАМ, ПРОКЛАДЫВАЕМЫЙ ПО ОСНОВАНИЯМ КИРПИЧНЫМ</t>
  </si>
  <si>
    <t>100 м</t>
  </si>
  <si>
    <t>ТСН-2001.4. База. Сб.10, т.84, поз.2</t>
  </si>
  <si>
    <t>Монтаж оборудования</t>
  </si>
  <si>
    <t>ТСН-2001.4-10. 10-1...10-91</t>
  </si>
  <si>
    <t>ТСН-2001.4-10-1</t>
  </si>
  <si>
    <t>2</t>
  </si>
  <si>
    <t>4.10-82-1</t>
  </si>
  <si>
    <t>ПРИБОРЫ И УСТРОЙСТВА СИГНАЛИЗАРУЮЩИЕ ОБЪЕКТОВЫЕ: ПРИБОР СИГНАЛИЗИРУЮЩИЙ ЕМКОСТНОЙ</t>
  </si>
  <si>
    <t>шт.</t>
  </si>
  <si>
    <t>ТСН-2001.4. База. Сб.10, т.82, поз.1</t>
  </si>
  <si>
    <t>3</t>
  </si>
  <si>
    <t>4.10-80-2</t>
  </si>
  <si>
    <t>АППАРАТЫ ПРИЕМНЫЕ,ПРИБОРЫ ПС ПРИЕМНО-КОНТРОЛЬНЫЕ, ПУСКОВЫЕ, КОНЦЕНТРАТОР: БЛОК БАЗОВЫЙ НА 20 ЛУЧЕЙ</t>
  </si>
  <si>
    <t>ТСН-2001.4. База. Сб.10, т.80, поз.2</t>
  </si>
  <si>
    <t>4</t>
  </si>
  <si>
    <t>4.10-81-3</t>
  </si>
  <si>
    <t>ИЗВЕЩАТЕЛИ ПС АВТОМАТИЧЕСКИЕ: ТЕПЛОВОЙ, ДЫМОВОЙ, СВЕТОВОЙ ВО ВЗРЫВОЗАЩИЩЕННОМ ИСПОЛНЕНИИ</t>
  </si>
  <si>
    <t>ТСН-2001.4. База. Сб.10, т.81, поз.3</t>
  </si>
  <si>
    <t>5</t>
  </si>
  <si>
    <t>5.10-40-2</t>
  </si>
  <si>
    <t>ЭЛЕКТРОТЕХНИЧЕСКИЕ УСТРОЙСТВА АТС НА 30-40 ТЫСЯЧ НОМЕРОВ: ЭЛЕКТРОТЕХНИЧЕСКИЕ УСТРОЙСТВА ОХРАННО-ПОЖАРНОЙ СИГНАЛИЗАЦИИ</t>
  </si>
  <si>
    <t>объект</t>
  </si>
  <si>
    <t>ТСН-2001.5. База. Сб.10, т.40, поз.2</t>
  </si>
  <si>
    <t>Пусконаладочные работы</t>
  </si>
  <si>
    <t>ТСН-2001.5-10. 10-4...10-44</t>
  </si>
  <si>
    <t>ТСН-2001.5-10-1</t>
  </si>
  <si>
    <t>6</t>
  </si>
  <si>
    <t>1.23-13-14</t>
  </si>
  <si>
    <t>ПРОВОДА СИЛОВЫЕ С АЛЮМИНИЕВЫМИ ЖИЛАМИ В ПОЛИВИНИЛХЛОРИДНОЙ ИЗОЛЯЦИИ, МАРКА АПВ, НАПРЯЖЕНИЕ 380 В, СЕЧЕНИЕ 95 ММ2</t>
  </si>
  <si>
    <t>км</t>
  </si>
  <si>
    <t>ТСН-2001.1. База. Р.23, о.13, поз.14</t>
  </si>
  <si>
    <t>Прочие работы</t>
  </si>
  <si>
    <t>МЦЦС</t>
  </si>
  <si>
    <t>7</t>
  </si>
  <si>
    <t>1.14-2-23</t>
  </si>
  <si>
    <t>ПРИБОРЫ И УСТРОЙСТВА СИГНАЛЬНЫЕ, ТИП СИГНАЛ-37М, ПРИБОР ПРИЕМНО-КОНТРОЛЬНЫЙ ОХРАННОЙ СИГНАЛИЗАЦИИ</t>
  </si>
  <si>
    <t>ТСН-2001.1. База. Р.14, о.2, поз.23</t>
  </si>
  <si>
    <t>8</t>
  </si>
  <si>
    <t>1.14-2-19</t>
  </si>
  <si>
    <t>ПРИБОРЫ И УСТРОЙСТВА СИГНАЛЬНЫЕ, ТИП ППСДУ-32, ПРИБОР ПОЖАРНОЙ СИГНАЛИЗАЦИИ</t>
  </si>
  <si>
    <t>ТСН-2001.1. База. Р.14, о.2, поз.19</t>
  </si>
  <si>
    <t>9</t>
  </si>
  <si>
    <t>1.14-2-8</t>
  </si>
  <si>
    <t>ИЗВЕЩАТЕЛИ ПОЖАРНЫЕ, ТИП ИПР, РУЧНЫЕ</t>
  </si>
  <si>
    <t>ТСН-2001.1. База. Р.14, о.2, поз.8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</si>
  <si>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</si>
  <si>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</si>
  <si>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</si>
  <si>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</si>
  <si>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</si>
  <si>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</si>
  <si>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</si>
  <si>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</si>
  <si>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</si>
  <si>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</si>
  <si>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</si>
  <si>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</si>
  <si>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</si>
  <si>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</si>
  <si>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</si>
  <si>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</si>
  <si>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</si>
  <si>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</si>
  <si>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</si>
  <si>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</si>
  <si>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</si>
  <si>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</si>
  <si>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</si>
  <si>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</si>
  <si>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</si>
  <si>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</si>
  <si>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</si>
  <si>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</si>
  <si>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</si>
  <si>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</si>
  <si>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</si>
  <si>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</si>
  <si>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</si>
  <si>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</si>
  <si>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</si>
  <si>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</si>
  <si>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 по смете</t>
  </si>
  <si>
    <t>ИТОГО ПО СМЕТЕ</t>
  </si>
  <si>
    <t>ндс</t>
  </si>
  <si>
    <t>НДС - 20%</t>
  </si>
  <si>
    <t>вс</t>
  </si>
  <si>
    <t>ВСЕГО ПО СМЕТЕ</t>
  </si>
  <si>
    <t>Уровень цен</t>
  </si>
  <si>
    <t>_OBSM_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</si>
  <si>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</si>
  <si>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</si>
  <si>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</si>
  <si>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</si>
  <si>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</si>
  <si>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</si>
  <si>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</si>
  <si>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</si>
  <si>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</si>
  <si>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</si>
  <si>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</si>
  <si>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</si>
  <si>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</si>
  <si>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</si>
  <si>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</si>
  <si>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</si>
  <si>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</si>
  <si>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</si>
  <si>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</si>
  <si>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</si>
  <si>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</si>
  <si>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</si>
  <si>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</si>
  <si>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Форма № 1б</t>
  </si>
  <si>
    <t xml:space="preserve"> </t>
  </si>
  <si>
    <t>ЛОКАЛЬНАЯ СМЕТА № ПОЖАРНАЯ СИГНАЛИЗАЦИЯ</t>
  </si>
  <si>
    <t xml:space="preserve">Основание: чертежи № </t>
  </si>
  <si>
    <t xml:space="preserve">Составлен(а) в уровне текущих (прогнозных) цен Январь 2000 года 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</si>
  <si>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</si>
  <si>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</si>
  <si>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</si>
  <si>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</si>
  <si>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</si>
  <si>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</si>
  <si>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</si>
  <si>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</si>
  <si>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</si>
  <si>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</si>
  <si>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 по локальной смете: ПОЖАРНАЯ СИГНАЛИЗАЦИЯ</t>
  </si>
  <si>
    <t>Итого по смете: ДОМ №10 Смета на пожарную сигнализацию</t>
  </si>
  <si>
    <t xml:space="preserve">Составил   </t>
  </si>
  <si>
    <t>[должность,подпись(инициалы,фамилия)]</t>
  </si>
  <si>
    <t xml:space="preserve">Проверил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</si>
</sst>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####;[Red]\-\ #,##0.00#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172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174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7" fillId="0" borderId="0" xfId="0" applyNumberFormat="1" applyFont="1" applyAlignment="1">
      <alignment horizontal="right"/>
    </xf>
    <xf numFmtId="172" fontId="31" fillId="0" borderId="0" xfId="0" applyNumberFormat="1" applyFont="1" applyAlignment="1">
      <alignment horizontal="right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right"/>
    </xf>
    <xf numFmtId="17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 wrapText="1"/>
    </xf>
    <xf numFmtId="172" fontId="27" fillId="0" borderId="1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="112" zoomScaleNormal="112" zoomScalePageLayoutView="0" workbookViewId="0" topLeftCell="A1">
      <selection activeCell="E1" sqref="E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26.7109375" style="0" customWidth="1"/>
    <col min="4" max="7" width="11.7109375" style="0" customWidth="1"/>
    <col min="8" max="8" width="10.7109375" style="0" customWidth="1"/>
    <col min="9" max="11" width="12.7109375" style="0" customWidth="1"/>
    <col min="15" max="27" width="0" style="0" hidden="1" customWidth="1"/>
    <col min="28" max="28" width="86.7109375" style="0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5" t="s">
        <v>128</v>
      </c>
    </row>
    <row r="2" spans="1:28" ht="18.75">
      <c r="A2" s="7" t="str">
        <f>IF(Source!G4&lt;&gt;"",Source!G4,IF(Source!F4&lt;&gt;"",Source!F4,IF(Source!G5&lt;&gt;"",Source!G5,IF(Source!F5&lt;&gt;"",Source!F5,IF(Source!G6&lt;&gt;"",Source!G6,IF(Source!F6&lt;&gt;"",Source!F6," "))))))</f>
        <v> </v>
      </c>
      <c r="B2" s="7"/>
      <c r="C2" s="7"/>
      <c r="D2" s="7"/>
      <c r="E2" s="7"/>
      <c r="F2" s="7"/>
      <c r="G2" s="7"/>
      <c r="H2" s="7"/>
      <c r="I2" s="7"/>
      <c r="J2" s="7"/>
      <c r="K2" s="7"/>
      <c r="AB2" s="22" t="s">
        <v>129</v>
      </c>
    </row>
    <row r="3" spans="1:11" ht="12.75">
      <c r="A3" s="8" t="s">
        <v>105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8" ht="18.75">
      <c r="A5" s="10" t="str">
        <f>CONCATENATE("ЛОКАЛЬНАЯ СМЕТА № ",Source!F20)</f>
        <v>ЛОКАЛЬНАЯ СМЕТА № ПОЖАРНАЯ СИГНАЛИЗАЦИЯ</v>
      </c>
      <c r="B5" s="11"/>
      <c r="C5" s="11"/>
      <c r="D5" s="11"/>
      <c r="E5" s="11"/>
      <c r="F5" s="11"/>
      <c r="G5" s="11"/>
      <c r="H5" s="11"/>
      <c r="I5" s="11"/>
      <c r="J5" s="11"/>
      <c r="K5" s="11"/>
      <c r="AB5" s="23" t="s">
        <v>130</v>
      </c>
    </row>
    <row r="6" spans="1:11" ht="12.75">
      <c r="A6" s="12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8" ht="18.75">
      <c r="A8" s="10" t="str">
        <f>Source!G20</f>
        <v>ПОЖАРНАЯ СИГНАЛИЗАЦИЯ</v>
      </c>
      <c r="B8" s="11"/>
      <c r="C8" s="11"/>
      <c r="D8" s="11"/>
      <c r="E8" s="11"/>
      <c r="F8" s="11"/>
      <c r="G8" s="11"/>
      <c r="H8" s="11"/>
      <c r="I8" s="11"/>
      <c r="J8" s="11"/>
      <c r="K8" s="11"/>
      <c r="AB8" s="23" t="s">
        <v>12</v>
      </c>
    </row>
    <row r="9" spans="1:1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8" ht="18.75">
      <c r="A10" s="9" t="s">
        <v>107</v>
      </c>
      <c r="B10" s="13" t="str">
        <f>Source!G12</f>
        <v>ДОМ №10 Смета на пожарную сигнализацию</v>
      </c>
      <c r="C10" s="13"/>
      <c r="D10" s="13"/>
      <c r="E10" s="13"/>
      <c r="F10" s="13"/>
      <c r="G10" s="13"/>
      <c r="H10" s="13"/>
      <c r="I10" s="13"/>
      <c r="J10" s="13"/>
      <c r="K10" s="13"/>
      <c r="AB10" s="24" t="s">
        <v>5</v>
      </c>
    </row>
    <row r="11" spans="1:11" ht="15.75">
      <c r="A11" s="9"/>
      <c r="B11" s="12" t="s">
        <v>108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28" ht="15.75">
      <c r="A13" s="14" t="str">
        <f>CONCATENATE("Основание: чертежи № ",Source!J20)</f>
        <v>Основание: чертежи № 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AB13" s="25" t="s">
        <v>131</v>
      </c>
    </row>
    <row r="14" spans="1:11" ht="31.5">
      <c r="A14" s="9"/>
      <c r="B14" s="9"/>
      <c r="C14" s="9"/>
      <c r="D14" s="9"/>
      <c r="E14" s="9"/>
      <c r="F14" s="9"/>
      <c r="G14" s="9"/>
      <c r="H14" s="9"/>
      <c r="I14" s="15" t="s">
        <v>109</v>
      </c>
      <c r="J14" s="15" t="s">
        <v>110</v>
      </c>
      <c r="K14" s="9"/>
    </row>
    <row r="15" spans="1:11" ht="15.75">
      <c r="A15" s="9"/>
      <c r="B15" s="9"/>
      <c r="C15" s="9"/>
      <c r="D15" s="9"/>
      <c r="E15" s="9"/>
      <c r="F15" s="16" t="s">
        <v>111</v>
      </c>
      <c r="G15" s="16"/>
      <c r="H15" s="16"/>
      <c r="I15" s="17">
        <f>SUM(O24:O84)/1000</f>
        <v>90.63647</v>
      </c>
      <c r="J15" s="17">
        <f>(Source!AR34)/1000</f>
        <v>88.05432</v>
      </c>
      <c r="K15" s="9" t="s">
        <v>112</v>
      </c>
    </row>
    <row r="16" spans="1:11" ht="15.75">
      <c r="A16" s="9"/>
      <c r="B16" s="9"/>
      <c r="C16" s="9"/>
      <c r="D16" s="9"/>
      <c r="E16" s="9"/>
      <c r="F16" s="16" t="s">
        <v>113</v>
      </c>
      <c r="G16" s="16"/>
      <c r="H16" s="16"/>
      <c r="I16" s="17">
        <f>SUM(X24:X84)/1000</f>
        <v>0</v>
      </c>
      <c r="J16" s="17">
        <f>(Source!F44)/1000</f>
        <v>0</v>
      </c>
      <c r="K16" s="9" t="s">
        <v>112</v>
      </c>
    </row>
    <row r="17" spans="1:11" ht="15.75">
      <c r="A17" s="9"/>
      <c r="B17" s="9"/>
      <c r="C17" s="9"/>
      <c r="D17" s="9"/>
      <c r="E17" s="9"/>
      <c r="F17" s="16" t="s">
        <v>114</v>
      </c>
      <c r="G17" s="16"/>
      <c r="H17" s="16"/>
      <c r="I17" s="17">
        <f>SUM(Y24:Y84)/1000</f>
        <v>67.78289</v>
      </c>
      <c r="J17" s="17">
        <f>(Source!F45)/1000</f>
        <v>65.20074</v>
      </c>
      <c r="K17" s="9" t="s">
        <v>112</v>
      </c>
    </row>
    <row r="18" spans="1:11" ht="15.75">
      <c r="A18" s="9"/>
      <c r="B18" s="9"/>
      <c r="C18" s="9"/>
      <c r="D18" s="9"/>
      <c r="E18" s="9"/>
      <c r="F18" s="16" t="s">
        <v>115</v>
      </c>
      <c r="G18" s="16"/>
      <c r="H18" s="16"/>
      <c r="I18" s="17">
        <f>SUM(Z24:Z84)/1000</f>
        <v>0</v>
      </c>
      <c r="J18" s="17">
        <f>(Source!F39)/1000</f>
        <v>0</v>
      </c>
      <c r="K18" s="9" t="s">
        <v>112</v>
      </c>
    </row>
    <row r="19" spans="1:11" ht="15.75">
      <c r="A19" s="9"/>
      <c r="B19" s="9"/>
      <c r="C19" s="9"/>
      <c r="D19" s="9"/>
      <c r="E19" s="9"/>
      <c r="F19" s="16" t="s">
        <v>47</v>
      </c>
      <c r="G19" s="16"/>
      <c r="H19" s="16"/>
      <c r="I19" s="17">
        <f>SUM(AA24:AA84)/1000</f>
        <v>22.85358</v>
      </c>
      <c r="J19" s="17">
        <f>(Source!F46)/1000</f>
        <v>22.85358</v>
      </c>
      <c r="K19" s="9" t="s">
        <v>112</v>
      </c>
    </row>
    <row r="20" spans="1:11" ht="15.75">
      <c r="A20" s="9"/>
      <c r="B20" s="9"/>
      <c r="C20" s="9"/>
      <c r="D20" s="9"/>
      <c r="E20" s="9"/>
      <c r="F20" s="16" t="s">
        <v>116</v>
      </c>
      <c r="G20" s="16"/>
      <c r="H20" s="16"/>
      <c r="I20" s="17">
        <f>SUM(W24:W84)/1000</f>
        <v>27.46165</v>
      </c>
      <c r="J20" s="17">
        <f>((Source!F43+Source!F42)/1000)</f>
        <v>27.461650000000002</v>
      </c>
      <c r="K20" s="9" t="s">
        <v>112</v>
      </c>
    </row>
    <row r="21" spans="1:11" ht="15.75">
      <c r="A21" s="9" t="s">
        <v>132</v>
      </c>
      <c r="B21" s="9"/>
      <c r="C21" s="9"/>
      <c r="D21" s="18"/>
      <c r="E21" s="19"/>
      <c r="F21" s="9"/>
      <c r="G21" s="9"/>
      <c r="H21" s="9"/>
      <c r="I21" s="9"/>
      <c r="J21" s="9"/>
      <c r="K21" s="9"/>
    </row>
    <row r="22" spans="1:11" ht="63">
      <c r="A22" s="20" t="s">
        <v>117</v>
      </c>
      <c r="B22" s="20" t="s">
        <v>118</v>
      </c>
      <c r="C22" s="20" t="s">
        <v>119</v>
      </c>
      <c r="D22" s="20" t="s">
        <v>120</v>
      </c>
      <c r="E22" s="20" t="s">
        <v>121</v>
      </c>
      <c r="F22" s="20" t="s">
        <v>122</v>
      </c>
      <c r="G22" s="21" t="s">
        <v>123</v>
      </c>
      <c r="H22" s="21" t="s">
        <v>124</v>
      </c>
      <c r="I22" s="20" t="s">
        <v>125</v>
      </c>
      <c r="J22" s="20" t="s">
        <v>126</v>
      </c>
      <c r="K22" s="20" t="s">
        <v>127</v>
      </c>
    </row>
    <row r="23" spans="1:11" ht="15.7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</row>
    <row r="24" spans="1:22" ht="189">
      <c r="A24" s="26" t="str">
        <f>Source!E24</f>
        <v>1</v>
      </c>
      <c r="B24" s="27" t="str">
        <f>Source!F24</f>
        <v>4.10-84-2</v>
      </c>
      <c r="C24" s="25" t="str">
        <f>Source!G24</f>
        <v>ПРОВОДА ПРИ ОТКРЫТОЙ ПРОВОДКЕ ДЛЯ СИСТЕМ ОПС: ПРОВОД ДВУХ- И ТРЕХЖИЛЬНЫЙ С РАЗДЕЛИТЕЛЬНЫМ ОСНОВАНИЕМ ПО СТЕНАМ И ПОТОЛКАМ, ПРОКЛАДЫВАЕМЫЙ ПО ОСНОВАНИЯМ КИРПИЧНЫМ</v>
      </c>
      <c r="D24" s="29" t="str">
        <f>Source!H24</f>
        <v>100 м</v>
      </c>
      <c r="E24" s="28">
        <f>ROUND(Source!I24,6)</f>
        <v>1</v>
      </c>
      <c r="F24" s="31"/>
      <c r="G24" s="30"/>
      <c r="H24" s="28"/>
      <c r="I24" s="32"/>
      <c r="J24" s="28"/>
      <c r="K24" s="32"/>
      <c r="Q24">
        <f>ROUND((Source!DN24/100)*ROUND(Source!CT24*Source!I24/IF(Source!BA24&lt;&gt;0,Source!BA24,1),2),2)</f>
        <v>419.31</v>
      </c>
      <c r="R24">
        <f>Source!X24</f>
        <v>449.26</v>
      </c>
      <c r="S24">
        <f>ROUND((Source!DO24/100)*ROUND(Source!CT24*Source!I24/IF(Source!BA24&lt;&gt;0,Source!BA24,1),2),2)</f>
        <v>262.07</v>
      </c>
      <c r="T24">
        <f>Source!Y24</f>
        <v>250.83</v>
      </c>
      <c r="U24">
        <f>ROUND((175/100)*ROUND(Source!CS24*Source!I24/IF(Source!BS24&lt;&gt;0,Source!BS24,1),2),2)</f>
        <v>0.42</v>
      </c>
      <c r="V24">
        <f>ROUND((180/100)*ROUND(Source!CS24*Source!I24,2),2)</f>
        <v>0.43</v>
      </c>
    </row>
    <row r="25" spans="1:23" ht="15.75">
      <c r="A25" s="26"/>
      <c r="B25" s="27"/>
      <c r="C25" s="25" t="s">
        <v>133</v>
      </c>
      <c r="D25" s="29"/>
      <c r="E25" s="28"/>
      <c r="F25" s="31">
        <f>Source!AO24</f>
        <v>357.57</v>
      </c>
      <c r="G25" s="30">
        <f>Source!DG24</f>
      </c>
      <c r="H25" s="28">
        <f>Source!AV24</f>
        <v>1.047</v>
      </c>
      <c r="I25" s="32">
        <f>ROUND(Source!CT24*Source!I24/IF(Source!BA24&lt;&gt;0,Source!BA24,1),2)</f>
        <v>374.38</v>
      </c>
      <c r="J25" s="28">
        <f>IF(Source!BA24&lt;&gt;0,Source!BA24,1)</f>
        <v>1</v>
      </c>
      <c r="K25" s="32">
        <f>Source!S24</f>
        <v>374.38</v>
      </c>
      <c r="W25">
        <f>ROUND(Source!CT24*Source!I24/IF(Source!BA24&lt;&gt;0,Source!BA24,1),2)</f>
        <v>374.38</v>
      </c>
    </row>
    <row r="26" spans="1:11" ht="15.75">
      <c r="A26" s="26"/>
      <c r="B26" s="27"/>
      <c r="C26" s="25" t="s">
        <v>134</v>
      </c>
      <c r="D26" s="29"/>
      <c r="E26" s="28"/>
      <c r="F26" s="31">
        <f>Source!AM24</f>
        <v>2.3</v>
      </c>
      <c r="G26" s="30">
        <f>Source!DE24</f>
      </c>
      <c r="H26" s="28">
        <f>Source!AV24</f>
        <v>1.047</v>
      </c>
      <c r="I26" s="32">
        <f>ROUND(Source!CR24*Source!I24/IF(Source!BB24&lt;&gt;0,Source!BB24,1),2)</f>
        <v>2.41</v>
      </c>
      <c r="J26" s="28">
        <f>IF(Source!BB24&lt;&gt;0,Source!BB24,1)</f>
        <v>1</v>
      </c>
      <c r="K26" s="32">
        <f>Source!Q24</f>
        <v>2.41</v>
      </c>
    </row>
    <row r="27" spans="1:23" ht="15.75">
      <c r="A27" s="26"/>
      <c r="B27" s="27"/>
      <c r="C27" s="25" t="s">
        <v>135</v>
      </c>
      <c r="D27" s="29"/>
      <c r="E27" s="28"/>
      <c r="F27" s="31">
        <f>Source!AN24</f>
        <v>0.23</v>
      </c>
      <c r="G27" s="30">
        <f>Source!DF24</f>
      </c>
      <c r="H27" s="28">
        <f>Source!AV24</f>
        <v>1.047</v>
      </c>
      <c r="I27" s="32">
        <f>ROUND(Source!CS24*Source!I24/IF(Source!BS24&lt;&gt;0,Source!BS24,1),2)</f>
        <v>0.24</v>
      </c>
      <c r="J27" s="28">
        <f>IF(Source!BS24&lt;&gt;0,Source!BS24,1)</f>
        <v>1</v>
      </c>
      <c r="K27" s="32">
        <f>Source!R24</f>
        <v>0.24</v>
      </c>
      <c r="W27">
        <f>ROUND(Source!CS24*Source!I24/IF(Source!BS24&lt;&gt;0,Source!BS24,1),2)</f>
        <v>0.24</v>
      </c>
    </row>
    <row r="28" spans="1:11" ht="15.75">
      <c r="A28" s="26"/>
      <c r="B28" s="27"/>
      <c r="C28" s="25" t="s">
        <v>136</v>
      </c>
      <c r="D28" s="29"/>
      <c r="E28" s="28"/>
      <c r="F28" s="31">
        <f>Source!AL24</f>
        <v>68.18</v>
      </c>
      <c r="G28" s="30">
        <f>Source!DD24</f>
      </c>
      <c r="H28" s="28">
        <f>Source!AW24</f>
        <v>1</v>
      </c>
      <c r="I28" s="32">
        <f>ROUND(Source!CQ24*Source!I24/IF(Source!BC24&lt;&gt;0,Source!BC24,1),2)</f>
        <v>68.18</v>
      </c>
      <c r="J28" s="28">
        <f>IF(Source!BC24&lt;&gt;0,Source!BC24,1)</f>
        <v>1</v>
      </c>
      <c r="K28" s="32">
        <f>Source!P24</f>
        <v>68.18</v>
      </c>
    </row>
    <row r="29" spans="1:11" ht="15.75">
      <c r="A29" s="26"/>
      <c r="B29" s="27"/>
      <c r="C29" s="25" t="s">
        <v>137</v>
      </c>
      <c r="D29" s="29" t="s">
        <v>138</v>
      </c>
      <c r="E29" s="28">
        <f>Source!DN24</f>
        <v>112</v>
      </c>
      <c r="F29" s="31"/>
      <c r="G29" s="30"/>
      <c r="H29" s="28"/>
      <c r="I29" s="32">
        <f>SUM(Q24:Q28)</f>
        <v>419.31</v>
      </c>
      <c r="J29" s="28">
        <f>Source!BZ24</f>
        <v>120</v>
      </c>
      <c r="K29" s="32">
        <f>SUM(R24:R28)</f>
        <v>449.26</v>
      </c>
    </row>
    <row r="30" spans="1:11" ht="15.75">
      <c r="A30" s="26"/>
      <c r="B30" s="27"/>
      <c r="C30" s="25" t="s">
        <v>139</v>
      </c>
      <c r="D30" s="29" t="s">
        <v>138</v>
      </c>
      <c r="E30" s="28">
        <f>Source!DO24</f>
        <v>70</v>
      </c>
      <c r="F30" s="31"/>
      <c r="G30" s="30"/>
      <c r="H30" s="28"/>
      <c r="I30" s="32">
        <f>SUM(S24:S29)</f>
        <v>262.07</v>
      </c>
      <c r="J30" s="28">
        <f>Source!CA24</f>
        <v>67</v>
      </c>
      <c r="K30" s="32">
        <f>SUM(T24:T29)</f>
        <v>250.83</v>
      </c>
    </row>
    <row r="31" spans="1:11" ht="15.75">
      <c r="A31" s="26"/>
      <c r="B31" s="27"/>
      <c r="C31" s="25" t="s">
        <v>140</v>
      </c>
      <c r="D31" s="29" t="s">
        <v>138</v>
      </c>
      <c r="E31" s="28">
        <f>175</f>
        <v>175</v>
      </c>
      <c r="F31" s="31"/>
      <c r="G31" s="30"/>
      <c r="H31" s="28"/>
      <c r="I31" s="32">
        <f>SUM(U24:U30)</f>
        <v>0.42</v>
      </c>
      <c r="J31" s="28">
        <f>180</f>
        <v>180</v>
      </c>
      <c r="K31" s="32">
        <f>SUM(V24:V30)</f>
        <v>0.43</v>
      </c>
    </row>
    <row r="32" spans="1:11" ht="15.75">
      <c r="A32" s="36"/>
      <c r="B32" s="37"/>
      <c r="C32" s="38" t="s">
        <v>141</v>
      </c>
      <c r="D32" s="39" t="s">
        <v>142</v>
      </c>
      <c r="E32" s="40">
        <f>Source!AQ24</f>
        <v>29</v>
      </c>
      <c r="F32" s="41"/>
      <c r="G32" s="42">
        <f>Source!DI24</f>
      </c>
      <c r="H32" s="40"/>
      <c r="I32" s="43">
        <f>Source!U24</f>
        <v>30.363</v>
      </c>
      <c r="J32" s="40"/>
      <c r="K32" s="43"/>
    </row>
    <row r="33" spans="8:27" ht="15.75">
      <c r="H33" s="35">
        <f>ROUND(Source!CQ24*Source!I24/IF(Source!BC24&lt;&gt;0,Source!BC24,1),2)+ROUND(Source!CT24*Source!I24/IF(Source!BA24&lt;&gt;0,Source!BA24,1),2)+ROUND(Source!CR24*Source!I24/IF(Source!BB24&lt;&gt;0,Source!BB24,1),2)+SUM(I29:I31)</f>
        <v>1126.77</v>
      </c>
      <c r="I33" s="35"/>
      <c r="J33" s="35">
        <f>Source!O24+SUM(K29:K31)</f>
        <v>1145.49</v>
      </c>
      <c r="K33" s="35"/>
      <c r="O33" s="33">
        <f>H33</f>
        <v>1126.77</v>
      </c>
      <c r="P33" s="33">
        <f>J33</f>
        <v>1145.49</v>
      </c>
      <c r="X33">
        <f>IF(Source!BI24&lt;=1,H33,0)</f>
        <v>0</v>
      </c>
      <c r="Y33">
        <f>IF(Source!BI24=2,H33,0)</f>
        <v>1126.77</v>
      </c>
      <c r="Z33">
        <f>IF(Source!BI24=3,H33,0)</f>
        <v>0</v>
      </c>
      <c r="AA33">
        <f>IF(Source!BI24=4,H33,0)</f>
        <v>0</v>
      </c>
    </row>
    <row r="34" spans="1:22" ht="94.5">
      <c r="A34" s="26" t="str">
        <f>Source!E25</f>
        <v>2</v>
      </c>
      <c r="B34" s="27" t="str">
        <f>Source!F25</f>
        <v>4.10-82-1</v>
      </c>
      <c r="C34" s="25" t="str">
        <f>Source!G25</f>
        <v>ПРИБОРЫ И УСТРОЙСТВА СИГНАЛИЗАРУЮЩИЕ ОБЪЕКТОВЫЕ: ПРИБОР СИГНАЛИЗИРУЮЩИЙ ЕМКОСТНОЙ</v>
      </c>
      <c r="D34" s="29" t="str">
        <f>Source!H25</f>
        <v>шт.</v>
      </c>
      <c r="E34" s="28">
        <f>ROUND(Source!I25,6)</f>
        <v>1</v>
      </c>
      <c r="F34" s="31"/>
      <c r="G34" s="30"/>
      <c r="H34" s="28"/>
      <c r="I34" s="32"/>
      <c r="J34" s="28"/>
      <c r="K34" s="32"/>
      <c r="Q34">
        <f>ROUND((Source!DN25/100)*ROUND(Source!CT25*Source!I25/IF(Source!BA25&lt;&gt;0,Source!BA25,1),2),2)</f>
        <v>165.11</v>
      </c>
      <c r="R34">
        <f>Source!X25</f>
        <v>176.9</v>
      </c>
      <c r="S34">
        <f>ROUND((Source!DO25/100)*ROUND(Source!CT25*Source!I25/IF(Source!BA25&lt;&gt;0,Source!BA25,1),2),2)</f>
        <v>103.19</v>
      </c>
      <c r="T34">
        <f>Source!Y25</f>
        <v>98.77</v>
      </c>
      <c r="U34">
        <f>ROUND((175/100)*ROUND(Source!CS25*Source!I25/IF(Source!BS25&lt;&gt;0,Source!BS25,1),2),2)</f>
        <v>0.02</v>
      </c>
      <c r="V34">
        <f>ROUND((180/100)*ROUND(Source!CS25*Source!I25,2),2)</f>
        <v>0.02</v>
      </c>
    </row>
    <row r="35" spans="1:23" ht="15.75">
      <c r="A35" s="26"/>
      <c r="B35" s="27"/>
      <c r="C35" s="25" t="s">
        <v>133</v>
      </c>
      <c r="D35" s="29"/>
      <c r="E35" s="28"/>
      <c r="F35" s="31">
        <f>Source!AO25</f>
        <v>140.8</v>
      </c>
      <c r="G35" s="30">
        <f>Source!DG25</f>
      </c>
      <c r="H35" s="28">
        <f>Source!AV25</f>
        <v>1.047</v>
      </c>
      <c r="I35" s="32">
        <f>ROUND(Source!CT25*Source!I25/IF(Source!BA25&lt;&gt;0,Source!BA25,1),2)</f>
        <v>147.42</v>
      </c>
      <c r="J35" s="28">
        <f>IF(Source!BA25&lt;&gt;0,Source!BA25,1)</f>
        <v>1</v>
      </c>
      <c r="K35" s="32">
        <f>Source!S25</f>
        <v>147.42</v>
      </c>
      <c r="W35">
        <f>ROUND(Source!CT25*Source!I25/IF(Source!BA25&lt;&gt;0,Source!BA25,1),2)</f>
        <v>147.42</v>
      </c>
    </row>
    <row r="36" spans="1:11" ht="15.75">
      <c r="A36" s="26"/>
      <c r="B36" s="27"/>
      <c r="C36" s="25" t="s">
        <v>134</v>
      </c>
      <c r="D36" s="29"/>
      <c r="E36" s="28"/>
      <c r="F36" s="31">
        <f>Source!AM25</f>
        <v>0.05</v>
      </c>
      <c r="G36" s="30">
        <f>Source!DE25</f>
      </c>
      <c r="H36" s="28">
        <f>Source!AV25</f>
        <v>1.047</v>
      </c>
      <c r="I36" s="32">
        <f>ROUND(Source!CR25*Source!I25/IF(Source!BB25&lt;&gt;0,Source!BB25,1),2)</f>
        <v>0.05</v>
      </c>
      <c r="J36" s="28">
        <f>IF(Source!BB25&lt;&gt;0,Source!BB25,1)</f>
        <v>1</v>
      </c>
      <c r="K36" s="32">
        <f>Source!Q25</f>
        <v>0.05</v>
      </c>
    </row>
    <row r="37" spans="1:23" ht="15.75">
      <c r="A37" s="26"/>
      <c r="B37" s="27"/>
      <c r="C37" s="25" t="s">
        <v>135</v>
      </c>
      <c r="D37" s="29"/>
      <c r="E37" s="28"/>
      <c r="F37" s="31">
        <f>Source!AN25</f>
        <v>0.01</v>
      </c>
      <c r="G37" s="30">
        <f>Source!DF25</f>
      </c>
      <c r="H37" s="28">
        <f>Source!AV25</f>
        <v>1.047</v>
      </c>
      <c r="I37" s="32">
        <f>ROUND(Source!CS25*Source!I25/IF(Source!BS25&lt;&gt;0,Source!BS25,1),2)</f>
        <v>0.01</v>
      </c>
      <c r="J37" s="28">
        <f>IF(Source!BS25&lt;&gt;0,Source!BS25,1)</f>
        <v>1</v>
      </c>
      <c r="K37" s="32">
        <f>Source!R25</f>
        <v>0.01</v>
      </c>
      <c r="W37">
        <f>ROUND(Source!CS25*Source!I25/IF(Source!BS25&lt;&gt;0,Source!BS25,1),2)</f>
        <v>0.01</v>
      </c>
    </row>
    <row r="38" spans="1:11" ht="15.75">
      <c r="A38" s="26"/>
      <c r="B38" s="27"/>
      <c r="C38" s="25" t="s">
        <v>136</v>
      </c>
      <c r="D38" s="29"/>
      <c r="E38" s="28"/>
      <c r="F38" s="31">
        <f>Source!AL25</f>
        <v>4.69</v>
      </c>
      <c r="G38" s="30">
        <f>Source!DD25</f>
      </c>
      <c r="H38" s="28">
        <f>Source!AW25</f>
        <v>1</v>
      </c>
      <c r="I38" s="32">
        <f>ROUND(Source!CQ25*Source!I25/IF(Source!BC25&lt;&gt;0,Source!BC25,1),2)</f>
        <v>4.69</v>
      </c>
      <c r="J38" s="28">
        <f>IF(Source!BC25&lt;&gt;0,Source!BC25,1)</f>
        <v>1</v>
      </c>
      <c r="K38" s="32">
        <f>Source!P25</f>
        <v>4.69</v>
      </c>
    </row>
    <row r="39" spans="1:11" ht="15.75">
      <c r="A39" s="26"/>
      <c r="B39" s="27"/>
      <c r="C39" s="25" t="s">
        <v>137</v>
      </c>
      <c r="D39" s="29" t="s">
        <v>138</v>
      </c>
      <c r="E39" s="28">
        <f>Source!DN25</f>
        <v>112</v>
      </c>
      <c r="F39" s="31"/>
      <c r="G39" s="30"/>
      <c r="H39" s="28"/>
      <c r="I39" s="32">
        <f>SUM(Q34:Q38)</f>
        <v>165.11</v>
      </c>
      <c r="J39" s="28">
        <f>Source!BZ25</f>
        <v>120</v>
      </c>
      <c r="K39" s="32">
        <f>SUM(R34:R38)</f>
        <v>176.9</v>
      </c>
    </row>
    <row r="40" spans="1:11" ht="15.75">
      <c r="A40" s="26"/>
      <c r="B40" s="27"/>
      <c r="C40" s="25" t="s">
        <v>139</v>
      </c>
      <c r="D40" s="29" t="s">
        <v>138</v>
      </c>
      <c r="E40" s="28">
        <f>Source!DO25</f>
        <v>70</v>
      </c>
      <c r="F40" s="31"/>
      <c r="G40" s="30"/>
      <c r="H40" s="28"/>
      <c r="I40" s="32">
        <f>SUM(S34:S39)</f>
        <v>103.19</v>
      </c>
      <c r="J40" s="28">
        <f>Source!CA25</f>
        <v>67</v>
      </c>
      <c r="K40" s="32">
        <f>SUM(T34:T39)</f>
        <v>98.77</v>
      </c>
    </row>
    <row r="41" spans="1:11" ht="15.75">
      <c r="A41" s="26"/>
      <c r="B41" s="27"/>
      <c r="C41" s="25" t="s">
        <v>140</v>
      </c>
      <c r="D41" s="29" t="s">
        <v>138</v>
      </c>
      <c r="E41" s="28">
        <f>175</f>
        <v>175</v>
      </c>
      <c r="F41" s="31"/>
      <c r="G41" s="30"/>
      <c r="H41" s="28"/>
      <c r="I41" s="32">
        <f>SUM(U34:U40)</f>
        <v>0.02</v>
      </c>
      <c r="J41" s="28">
        <f>180</f>
        <v>180</v>
      </c>
      <c r="K41" s="32">
        <f>SUM(V34:V40)</f>
        <v>0.02</v>
      </c>
    </row>
    <row r="42" spans="1:11" ht="15.75">
      <c r="A42" s="36"/>
      <c r="B42" s="37"/>
      <c r="C42" s="38" t="s">
        <v>141</v>
      </c>
      <c r="D42" s="39" t="s">
        <v>142</v>
      </c>
      <c r="E42" s="40">
        <f>Source!AQ25</f>
        <v>11</v>
      </c>
      <c r="F42" s="41"/>
      <c r="G42" s="42">
        <f>Source!DI25</f>
      </c>
      <c r="H42" s="40"/>
      <c r="I42" s="43">
        <f>Source!U25</f>
        <v>11.517</v>
      </c>
      <c r="J42" s="40"/>
      <c r="K42" s="43"/>
    </row>
    <row r="43" spans="8:27" ht="15.75">
      <c r="H43" s="35">
        <f>ROUND(Source!CQ25*Source!I25/IF(Source!BC25&lt;&gt;0,Source!BC25,1),2)+ROUND(Source!CT25*Source!I25/IF(Source!BA25&lt;&gt;0,Source!BA25,1),2)+ROUND(Source!CR25*Source!I25/IF(Source!BB25&lt;&gt;0,Source!BB25,1),2)+SUM(I39:I41)</f>
        <v>420.48</v>
      </c>
      <c r="I43" s="35"/>
      <c r="J43" s="35">
        <f>Source!O25+SUM(K39:K41)</f>
        <v>427.85</v>
      </c>
      <c r="K43" s="35"/>
      <c r="O43" s="33">
        <f>H43</f>
        <v>420.48</v>
      </c>
      <c r="P43" s="33">
        <f>J43</f>
        <v>427.85</v>
      </c>
      <c r="X43">
        <f>IF(Source!BI25&lt;=1,H43,0)</f>
        <v>0</v>
      </c>
      <c r="Y43">
        <f>IF(Source!BI25=2,H43,0)</f>
        <v>420.48</v>
      </c>
      <c r="Z43">
        <f>IF(Source!BI25=3,H43,0)</f>
        <v>0</v>
      </c>
      <c r="AA43">
        <f>IF(Source!BI25=4,H43,0)</f>
        <v>0</v>
      </c>
    </row>
    <row r="44" spans="1:22" ht="126">
      <c r="A44" s="26" t="str">
        <f>Source!E26</f>
        <v>3</v>
      </c>
      <c r="B44" s="27" t="str">
        <f>Source!F26</f>
        <v>4.10-80-2</v>
      </c>
      <c r="C44" s="25" t="str">
        <f>Source!G26</f>
        <v>АППАРАТЫ ПРИЕМНЫЕ,ПРИБОРЫ ПС ПРИЕМНО-КОНТРОЛЬНЫЕ, ПУСКОВЫЕ, КОНЦЕНТРАТОР: БЛОК БАЗОВЫЙ НА 20 ЛУЧЕЙ</v>
      </c>
      <c r="D44" s="29" t="str">
        <f>Source!H26</f>
        <v>шт.</v>
      </c>
      <c r="E44" s="28">
        <f>ROUND(Source!I26,6)</f>
        <v>1</v>
      </c>
      <c r="F44" s="31"/>
      <c r="G44" s="30"/>
      <c r="H44" s="28"/>
      <c r="I44" s="32"/>
      <c r="J44" s="28"/>
      <c r="K44" s="32"/>
      <c r="Q44">
        <f>ROUND((Source!DN26/100)*ROUND(Source!CT26*Source!I26/IF(Source!BA26&lt;&gt;0,Source!BA26,1),2),2)</f>
        <v>603.68</v>
      </c>
      <c r="R44">
        <f>Source!X26</f>
        <v>646.8</v>
      </c>
      <c r="S44">
        <f>ROUND((Source!DO26/100)*ROUND(Source!CT26*Source!I26/IF(Source!BA26&lt;&gt;0,Source!BA26,1),2),2)</f>
        <v>377.3</v>
      </c>
      <c r="T44">
        <f>Source!Y26</f>
        <v>361.13</v>
      </c>
      <c r="U44">
        <f>ROUND((175/100)*ROUND(Source!CS26*Source!I26/IF(Source!BS26&lt;&gt;0,Source!BS26,1),2),2)</f>
        <v>0.02</v>
      </c>
      <c r="V44">
        <f>ROUND((180/100)*ROUND(Source!CS26*Source!I26,2),2)</f>
        <v>0.02</v>
      </c>
    </row>
    <row r="45" spans="1:23" ht="15.75">
      <c r="A45" s="26"/>
      <c r="B45" s="27"/>
      <c r="C45" s="25" t="s">
        <v>133</v>
      </c>
      <c r="D45" s="29"/>
      <c r="E45" s="28"/>
      <c r="F45" s="31">
        <f>Source!AO26</f>
        <v>514.8</v>
      </c>
      <c r="G45" s="30">
        <f>Source!DG26</f>
      </c>
      <c r="H45" s="28">
        <f>Source!AV26</f>
        <v>1.047</v>
      </c>
      <c r="I45" s="32">
        <f>ROUND(Source!CT26*Source!I26/IF(Source!BA26&lt;&gt;0,Source!BA26,1),2)</f>
        <v>539</v>
      </c>
      <c r="J45" s="28">
        <f>IF(Source!BA26&lt;&gt;0,Source!BA26,1)</f>
        <v>1</v>
      </c>
      <c r="K45" s="32">
        <f>Source!S26</f>
        <v>539</v>
      </c>
      <c r="W45">
        <f>ROUND(Source!CT26*Source!I26/IF(Source!BA26&lt;&gt;0,Source!BA26,1),2)</f>
        <v>539</v>
      </c>
    </row>
    <row r="46" spans="1:11" ht="15.75">
      <c r="A46" s="26"/>
      <c r="B46" s="27"/>
      <c r="C46" s="25" t="s">
        <v>134</v>
      </c>
      <c r="D46" s="29"/>
      <c r="E46" s="28"/>
      <c r="F46" s="31">
        <f>Source!AM26</f>
        <v>0.06</v>
      </c>
      <c r="G46" s="30">
        <f>Source!DE26</f>
      </c>
      <c r="H46" s="28">
        <f>Source!AV26</f>
        <v>1.047</v>
      </c>
      <c r="I46" s="32">
        <f>ROUND(Source!CR26*Source!I26/IF(Source!BB26&lt;&gt;0,Source!BB26,1),2)</f>
        <v>0.06</v>
      </c>
      <c r="J46" s="28">
        <f>IF(Source!BB26&lt;&gt;0,Source!BB26,1)</f>
        <v>1</v>
      </c>
      <c r="K46" s="32">
        <f>Source!Q26</f>
        <v>0.06</v>
      </c>
    </row>
    <row r="47" spans="1:23" ht="15.75">
      <c r="A47" s="26"/>
      <c r="B47" s="27"/>
      <c r="C47" s="25" t="s">
        <v>135</v>
      </c>
      <c r="D47" s="29"/>
      <c r="E47" s="28"/>
      <c r="F47" s="31">
        <f>Source!AN26</f>
        <v>0.01</v>
      </c>
      <c r="G47" s="30">
        <f>Source!DF26</f>
      </c>
      <c r="H47" s="28">
        <f>Source!AV26</f>
        <v>1.047</v>
      </c>
      <c r="I47" s="32">
        <f>ROUND(Source!CS26*Source!I26/IF(Source!BS26&lt;&gt;0,Source!BS26,1),2)</f>
        <v>0.01</v>
      </c>
      <c r="J47" s="28">
        <f>IF(Source!BS26&lt;&gt;0,Source!BS26,1)</f>
        <v>1</v>
      </c>
      <c r="K47" s="32">
        <f>Source!R26</f>
        <v>0.01</v>
      </c>
      <c r="W47">
        <f>ROUND(Source!CS26*Source!I26/IF(Source!BS26&lt;&gt;0,Source!BS26,1),2)</f>
        <v>0.01</v>
      </c>
    </row>
    <row r="48" spans="1:11" ht="15.75">
      <c r="A48" s="26"/>
      <c r="B48" s="27"/>
      <c r="C48" s="25" t="s">
        <v>136</v>
      </c>
      <c r="D48" s="29"/>
      <c r="E48" s="28"/>
      <c r="F48" s="31">
        <f>Source!AL26</f>
        <v>20.93</v>
      </c>
      <c r="G48" s="30">
        <f>Source!DD26</f>
      </c>
      <c r="H48" s="28">
        <f>Source!AW26</f>
        <v>1</v>
      </c>
      <c r="I48" s="32">
        <f>ROUND(Source!CQ26*Source!I26/IF(Source!BC26&lt;&gt;0,Source!BC26,1),2)</f>
        <v>20.93</v>
      </c>
      <c r="J48" s="28">
        <f>IF(Source!BC26&lt;&gt;0,Source!BC26,1)</f>
        <v>1</v>
      </c>
      <c r="K48" s="32">
        <f>Source!P26</f>
        <v>20.93</v>
      </c>
    </row>
    <row r="49" spans="1:11" ht="15.75">
      <c r="A49" s="26"/>
      <c r="B49" s="27"/>
      <c r="C49" s="25" t="s">
        <v>137</v>
      </c>
      <c r="D49" s="29" t="s">
        <v>138</v>
      </c>
      <c r="E49" s="28">
        <f>Source!DN26</f>
        <v>112</v>
      </c>
      <c r="F49" s="31"/>
      <c r="G49" s="30"/>
      <c r="H49" s="28"/>
      <c r="I49" s="32">
        <f>SUM(Q44:Q48)</f>
        <v>603.68</v>
      </c>
      <c r="J49" s="28">
        <f>Source!BZ26</f>
        <v>120</v>
      </c>
      <c r="K49" s="32">
        <f>SUM(R44:R48)</f>
        <v>646.8</v>
      </c>
    </row>
    <row r="50" spans="1:11" ht="15.75">
      <c r="A50" s="26"/>
      <c r="B50" s="27"/>
      <c r="C50" s="25" t="s">
        <v>139</v>
      </c>
      <c r="D50" s="29" t="s">
        <v>138</v>
      </c>
      <c r="E50" s="28">
        <f>Source!DO26</f>
        <v>70</v>
      </c>
      <c r="F50" s="31"/>
      <c r="G50" s="30"/>
      <c r="H50" s="28"/>
      <c r="I50" s="32">
        <f>SUM(S44:S49)</f>
        <v>377.3</v>
      </c>
      <c r="J50" s="28">
        <f>Source!CA26</f>
        <v>67</v>
      </c>
      <c r="K50" s="32">
        <f>SUM(T44:T49)</f>
        <v>361.13</v>
      </c>
    </row>
    <row r="51" spans="1:11" ht="15.75">
      <c r="A51" s="26"/>
      <c r="B51" s="27"/>
      <c r="C51" s="25" t="s">
        <v>140</v>
      </c>
      <c r="D51" s="29" t="s">
        <v>138</v>
      </c>
      <c r="E51" s="28">
        <f>175</f>
        <v>175</v>
      </c>
      <c r="F51" s="31"/>
      <c r="G51" s="30"/>
      <c r="H51" s="28"/>
      <c r="I51" s="32">
        <f>SUM(U44:U50)</f>
        <v>0.02</v>
      </c>
      <c r="J51" s="28">
        <f>180</f>
        <v>180</v>
      </c>
      <c r="K51" s="32">
        <f>SUM(V44:V50)</f>
        <v>0.02</v>
      </c>
    </row>
    <row r="52" spans="1:11" ht="15.75">
      <c r="A52" s="36"/>
      <c r="B52" s="37"/>
      <c r="C52" s="38" t="s">
        <v>141</v>
      </c>
      <c r="D52" s="39" t="s">
        <v>142</v>
      </c>
      <c r="E52" s="40">
        <f>Source!AQ26</f>
        <v>39</v>
      </c>
      <c r="F52" s="41"/>
      <c r="G52" s="42">
        <f>Source!DI26</f>
      </c>
      <c r="H52" s="40"/>
      <c r="I52" s="43">
        <f>Source!U26</f>
        <v>40.833</v>
      </c>
      <c r="J52" s="40"/>
      <c r="K52" s="43"/>
    </row>
    <row r="53" spans="8:27" ht="15.75">
      <c r="H53" s="35">
        <f>ROUND(Source!CQ26*Source!I26/IF(Source!BC26&lt;&gt;0,Source!BC26,1),2)+ROUND(Source!CT26*Source!I26/IF(Source!BA26&lt;&gt;0,Source!BA26,1),2)+ROUND(Source!CR26*Source!I26/IF(Source!BB26&lt;&gt;0,Source!BB26,1),2)+SUM(I49:I51)</f>
        <v>1540.9899999999998</v>
      </c>
      <c r="I53" s="35"/>
      <c r="J53" s="35">
        <f>Source!O26+SUM(K49:K51)</f>
        <v>1567.94</v>
      </c>
      <c r="K53" s="35"/>
      <c r="O53" s="33">
        <f>H53</f>
        <v>1540.9899999999998</v>
      </c>
      <c r="P53" s="33">
        <f>J53</f>
        <v>1567.94</v>
      </c>
      <c r="X53">
        <f>IF(Source!BI26&lt;=1,H53,0)</f>
        <v>0</v>
      </c>
      <c r="Y53">
        <f>IF(Source!BI26=2,H53,0)</f>
        <v>1540.9899999999998</v>
      </c>
      <c r="Z53">
        <f>IF(Source!BI26=3,H53,0)</f>
        <v>0</v>
      </c>
      <c r="AA53">
        <f>IF(Source!BI26=4,H53,0)</f>
        <v>0</v>
      </c>
    </row>
    <row r="54" spans="1:22" ht="110.25">
      <c r="A54" s="26" t="str">
        <f>Source!E27</f>
        <v>4</v>
      </c>
      <c r="B54" s="27" t="str">
        <f>Source!F27</f>
        <v>4.10-81-3</v>
      </c>
      <c r="C54" s="25" t="str">
        <f>Source!G27</f>
        <v>ИЗВЕЩАТЕЛИ ПС АВТОМАТИЧЕСКИЕ: ТЕПЛОВОЙ, ДЫМОВОЙ, СВЕТОВОЙ ВО ВЗРЫВОЗАЩИЩЕННОМ ИСПОЛНЕНИИ</v>
      </c>
      <c r="D54" s="29" t="str">
        <f>Source!H27</f>
        <v>шт.</v>
      </c>
      <c r="E54" s="28">
        <f>ROUND(Source!I27,6)</f>
        <v>1</v>
      </c>
      <c r="F54" s="31"/>
      <c r="G54" s="30"/>
      <c r="H54" s="28"/>
      <c r="I54" s="32"/>
      <c r="J54" s="28"/>
      <c r="K54" s="32"/>
      <c r="Q54">
        <f>ROUND((Source!DN27/100)*ROUND(Source!CT27*Source!I27/IF(Source!BA27&lt;&gt;0,Source!BA27,1),2),2)</f>
        <v>36.36</v>
      </c>
      <c r="R54">
        <f>Source!X27</f>
        <v>38.95</v>
      </c>
      <c r="S54">
        <f>ROUND((Source!DO27/100)*ROUND(Source!CT27*Source!I27/IF(Source!BA27&lt;&gt;0,Source!BA27,1),2),2)</f>
        <v>22.72</v>
      </c>
      <c r="T54">
        <f>Source!Y27</f>
        <v>21.75</v>
      </c>
      <c r="U54">
        <f>ROUND((175/100)*ROUND(Source!CS27*Source!I27/IF(Source!BS27&lt;&gt;0,Source!BS27,1),2),2)</f>
        <v>0.02</v>
      </c>
      <c r="V54">
        <f>ROUND((180/100)*ROUND(Source!CS27*Source!I27,2),2)</f>
        <v>0.02</v>
      </c>
    </row>
    <row r="55" spans="1:23" ht="15.75">
      <c r="A55" s="26"/>
      <c r="B55" s="27"/>
      <c r="C55" s="25" t="s">
        <v>133</v>
      </c>
      <c r="D55" s="29"/>
      <c r="E55" s="28"/>
      <c r="F55" s="31">
        <f>Source!AO27</f>
        <v>31</v>
      </c>
      <c r="G55" s="30">
        <f>Source!DG27</f>
      </c>
      <c r="H55" s="28">
        <f>Source!AV27</f>
        <v>1.047</v>
      </c>
      <c r="I55" s="32">
        <f>ROUND(Source!CT27*Source!I27/IF(Source!BA27&lt;&gt;0,Source!BA27,1),2)</f>
        <v>32.46</v>
      </c>
      <c r="J55" s="28">
        <f>IF(Source!BA27&lt;&gt;0,Source!BA27,1)</f>
        <v>1</v>
      </c>
      <c r="K55" s="32">
        <f>Source!S27</f>
        <v>32.46</v>
      </c>
      <c r="W55">
        <f>ROUND(Source!CT27*Source!I27/IF(Source!BA27&lt;&gt;0,Source!BA27,1),2)</f>
        <v>32.46</v>
      </c>
    </row>
    <row r="56" spans="1:11" ht="15.75">
      <c r="A56" s="26"/>
      <c r="B56" s="27"/>
      <c r="C56" s="25" t="s">
        <v>134</v>
      </c>
      <c r="D56" s="29"/>
      <c r="E56" s="28"/>
      <c r="F56" s="31">
        <f>Source!AM27</f>
        <v>0.08</v>
      </c>
      <c r="G56" s="30">
        <f>Source!DE27</f>
      </c>
      <c r="H56" s="28">
        <f>Source!AV27</f>
        <v>1.047</v>
      </c>
      <c r="I56" s="32">
        <f>ROUND(Source!CR27*Source!I27/IF(Source!BB27&lt;&gt;0,Source!BB27,1),2)</f>
        <v>0.08</v>
      </c>
      <c r="J56" s="28">
        <f>IF(Source!BB27&lt;&gt;0,Source!BB27,1)</f>
        <v>1</v>
      </c>
      <c r="K56" s="32">
        <f>Source!Q27</f>
        <v>0.08</v>
      </c>
    </row>
    <row r="57" spans="1:23" ht="15.75">
      <c r="A57" s="26"/>
      <c r="B57" s="27"/>
      <c r="C57" s="25" t="s">
        <v>135</v>
      </c>
      <c r="D57" s="29"/>
      <c r="E57" s="28"/>
      <c r="F57" s="31">
        <f>Source!AN27</f>
        <v>0.01</v>
      </c>
      <c r="G57" s="30">
        <f>Source!DF27</f>
      </c>
      <c r="H57" s="28">
        <f>Source!AV27</f>
        <v>1.047</v>
      </c>
      <c r="I57" s="32">
        <f>ROUND(Source!CS27*Source!I27/IF(Source!BS27&lt;&gt;0,Source!BS27,1),2)</f>
        <v>0.01</v>
      </c>
      <c r="J57" s="28">
        <f>IF(Source!BS27&lt;&gt;0,Source!BS27,1)</f>
        <v>1</v>
      </c>
      <c r="K57" s="32">
        <f>Source!R27</f>
        <v>0.01</v>
      </c>
      <c r="W57">
        <f>ROUND(Source!CS27*Source!I27/IF(Source!BS27&lt;&gt;0,Source!BS27,1),2)</f>
        <v>0.01</v>
      </c>
    </row>
    <row r="58" spans="1:11" ht="15.75">
      <c r="A58" s="26"/>
      <c r="B58" s="27"/>
      <c r="C58" s="25" t="s">
        <v>136</v>
      </c>
      <c r="D58" s="29"/>
      <c r="E58" s="28"/>
      <c r="F58" s="31">
        <f>Source!AL27</f>
        <v>1.12</v>
      </c>
      <c r="G58" s="30">
        <f>Source!DD27</f>
      </c>
      <c r="H58" s="28">
        <f>Source!AW27</f>
        <v>1</v>
      </c>
      <c r="I58" s="32">
        <f>ROUND(Source!CQ27*Source!I27/IF(Source!BC27&lt;&gt;0,Source!BC27,1),2)</f>
        <v>1.12</v>
      </c>
      <c r="J58" s="28">
        <f>IF(Source!BC27&lt;&gt;0,Source!BC27,1)</f>
        <v>1</v>
      </c>
      <c r="K58" s="32">
        <f>Source!P27</f>
        <v>1.12</v>
      </c>
    </row>
    <row r="59" spans="1:11" ht="15.75">
      <c r="A59" s="26"/>
      <c r="B59" s="27"/>
      <c r="C59" s="25" t="s">
        <v>137</v>
      </c>
      <c r="D59" s="29" t="s">
        <v>138</v>
      </c>
      <c r="E59" s="28">
        <f>Source!DN27</f>
        <v>112</v>
      </c>
      <c r="F59" s="31"/>
      <c r="G59" s="30"/>
      <c r="H59" s="28"/>
      <c r="I59" s="32">
        <f>SUM(Q54:Q58)</f>
        <v>36.36</v>
      </c>
      <c r="J59" s="28">
        <f>Source!BZ27</f>
        <v>120</v>
      </c>
      <c r="K59" s="32">
        <f>SUM(R54:R58)</f>
        <v>38.95</v>
      </c>
    </row>
    <row r="60" spans="1:11" ht="15.75">
      <c r="A60" s="26"/>
      <c r="B60" s="27"/>
      <c r="C60" s="25" t="s">
        <v>139</v>
      </c>
      <c r="D60" s="29" t="s">
        <v>138</v>
      </c>
      <c r="E60" s="28">
        <f>Source!DO27</f>
        <v>70</v>
      </c>
      <c r="F60" s="31"/>
      <c r="G60" s="30"/>
      <c r="H60" s="28"/>
      <c r="I60" s="32">
        <f>SUM(S54:S59)</f>
        <v>22.72</v>
      </c>
      <c r="J60" s="28">
        <f>Source!CA27</f>
        <v>67</v>
      </c>
      <c r="K60" s="32">
        <f>SUM(T54:T59)</f>
        <v>21.75</v>
      </c>
    </row>
    <row r="61" spans="1:11" ht="15.75">
      <c r="A61" s="26"/>
      <c r="B61" s="27"/>
      <c r="C61" s="25" t="s">
        <v>140</v>
      </c>
      <c r="D61" s="29" t="s">
        <v>138</v>
      </c>
      <c r="E61" s="28">
        <f>175</f>
        <v>175</v>
      </c>
      <c r="F61" s="31"/>
      <c r="G61" s="30"/>
      <c r="H61" s="28"/>
      <c r="I61" s="32">
        <f>SUM(U54:U60)</f>
        <v>0.02</v>
      </c>
      <c r="J61" s="28">
        <f>180</f>
        <v>180</v>
      </c>
      <c r="K61" s="32">
        <f>SUM(V54:V60)</f>
        <v>0.02</v>
      </c>
    </row>
    <row r="62" spans="1:11" ht="15.75">
      <c r="A62" s="36"/>
      <c r="B62" s="37"/>
      <c r="C62" s="38" t="s">
        <v>141</v>
      </c>
      <c r="D62" s="39" t="s">
        <v>142</v>
      </c>
      <c r="E62" s="40">
        <f>Source!AQ27</f>
        <v>2</v>
      </c>
      <c r="F62" s="41"/>
      <c r="G62" s="42">
        <f>Source!DI27</f>
      </c>
      <c r="H62" s="40"/>
      <c r="I62" s="43">
        <f>Source!U27</f>
        <v>2.094</v>
      </c>
      <c r="J62" s="40"/>
      <c r="K62" s="43"/>
    </row>
    <row r="63" spans="8:27" ht="15.75">
      <c r="H63" s="35">
        <f>ROUND(Source!CQ27*Source!I27/IF(Source!BC27&lt;&gt;0,Source!BC27,1),2)+ROUND(Source!CT27*Source!I27/IF(Source!BA27&lt;&gt;0,Source!BA27,1),2)+ROUND(Source!CR27*Source!I27/IF(Source!BB27&lt;&gt;0,Source!BB27,1),2)+SUM(I59:I61)</f>
        <v>92.75999999999999</v>
      </c>
      <c r="I63" s="35"/>
      <c r="J63" s="35">
        <f>Source!O27+SUM(K59:K61)</f>
        <v>94.38</v>
      </c>
      <c r="K63" s="35"/>
      <c r="O63" s="33">
        <f>H63</f>
        <v>92.75999999999999</v>
      </c>
      <c r="P63" s="33">
        <f>J63</f>
        <v>94.38</v>
      </c>
      <c r="X63">
        <f>IF(Source!BI27&lt;=1,H63,0)</f>
        <v>0</v>
      </c>
      <c r="Y63">
        <f>IF(Source!BI27=2,H63,0)</f>
        <v>92.75999999999999</v>
      </c>
      <c r="Z63">
        <f>IF(Source!BI27=3,H63,0)</f>
        <v>0</v>
      </c>
      <c r="AA63">
        <f>IF(Source!BI27=4,H63,0)</f>
        <v>0</v>
      </c>
    </row>
    <row r="64" spans="1:22" ht="126">
      <c r="A64" s="26" t="str">
        <f>Source!E28</f>
        <v>5</v>
      </c>
      <c r="B64" s="27" t="str">
        <f>Source!F28</f>
        <v>5.10-40-2</v>
      </c>
      <c r="C64" s="25" t="str">
        <f>Source!G28</f>
        <v>ЭЛЕКТРОТЕХНИЧЕСКИЕ УСТРОЙСТВА АТС НА 30-40 ТЫСЯЧ НОМЕРОВ: ЭЛЕКТРОТЕХНИЧЕСКИЕ УСТРОЙСТВА ОХРАННО-ПОЖАРНОЙ СИГНАЛИЗАЦИИ</v>
      </c>
      <c r="D64" s="29" t="str">
        <f>Source!H28</f>
        <v>объект</v>
      </c>
      <c r="E64" s="28">
        <f>ROUND(Source!I28,6)</f>
        <v>1</v>
      </c>
      <c r="F64" s="31"/>
      <c r="G64" s="30"/>
      <c r="H64" s="28"/>
      <c r="I64" s="32"/>
      <c r="J64" s="28"/>
      <c r="K64" s="32"/>
      <c r="Q64">
        <f>ROUND((Source!DN28/100)*ROUND(Source!CT28*Source!I28/IF(Source!BA28&lt;&gt;0,Source!BA28,1),2),2)</f>
        <v>19776.09</v>
      </c>
      <c r="R64">
        <f>Source!X28</f>
        <v>19512.41</v>
      </c>
      <c r="S64">
        <f>ROUND((Source!DO28/100)*ROUND(Source!CT28*Source!I28/IF(Source!BA28&lt;&gt;0,Source!BA28,1),2),2)</f>
        <v>18457.68</v>
      </c>
      <c r="T64">
        <f>Source!Y28</f>
        <v>16084.55</v>
      </c>
      <c r="U64">
        <f>ROUND((175/100)*ROUND(Source!CS28*Source!I28/IF(Source!BS28&lt;&gt;0,Source!BS28,1),2),2)</f>
        <v>0</v>
      </c>
      <c r="V64">
        <f>ROUND((180/100)*ROUND(Source!CS28*Source!I28,2),2)</f>
        <v>0</v>
      </c>
    </row>
    <row r="65" spans="1:23" ht="15.75">
      <c r="A65" s="26"/>
      <c r="B65" s="27"/>
      <c r="C65" s="25" t="s">
        <v>133</v>
      </c>
      <c r="D65" s="29"/>
      <c r="E65" s="28"/>
      <c r="F65" s="31">
        <f>Source!AO28</f>
        <v>26368.12</v>
      </c>
      <c r="G65" s="30">
        <f>Source!DG28</f>
      </c>
      <c r="H65" s="28">
        <f>Source!AV28</f>
        <v>1</v>
      </c>
      <c r="I65" s="32">
        <f>ROUND(Source!CT28*Source!I28/IF(Source!BA28&lt;&gt;0,Source!BA28,1),2)</f>
        <v>26368.12</v>
      </c>
      <c r="J65" s="28">
        <f>IF(Source!BA28&lt;&gt;0,Source!BA28,1)</f>
        <v>1</v>
      </c>
      <c r="K65" s="32">
        <f>Source!S28</f>
        <v>26368.12</v>
      </c>
      <c r="W65">
        <f>ROUND(Source!CT28*Source!I28/IF(Source!BA28&lt;&gt;0,Source!BA28,1),2)</f>
        <v>26368.12</v>
      </c>
    </row>
    <row r="66" spans="1:11" ht="15.75">
      <c r="A66" s="26"/>
      <c r="B66" s="27"/>
      <c r="C66" s="25" t="s">
        <v>137</v>
      </c>
      <c r="D66" s="29" t="s">
        <v>138</v>
      </c>
      <c r="E66" s="28">
        <f>Source!DN28</f>
        <v>75</v>
      </c>
      <c r="F66" s="31"/>
      <c r="G66" s="30"/>
      <c r="H66" s="28"/>
      <c r="I66" s="32">
        <f>SUM(Q64:Q65)</f>
        <v>19776.09</v>
      </c>
      <c r="J66" s="28">
        <f>Source!BZ28</f>
        <v>74</v>
      </c>
      <c r="K66" s="32">
        <f>SUM(R64:R65)</f>
        <v>19512.41</v>
      </c>
    </row>
    <row r="67" spans="1:11" ht="15.75">
      <c r="A67" s="26"/>
      <c r="B67" s="27"/>
      <c r="C67" s="25" t="s">
        <v>139</v>
      </c>
      <c r="D67" s="29" t="s">
        <v>138</v>
      </c>
      <c r="E67" s="28">
        <f>Source!DO28</f>
        <v>70</v>
      </c>
      <c r="F67" s="31"/>
      <c r="G67" s="30"/>
      <c r="H67" s="28"/>
      <c r="I67" s="32">
        <f>SUM(S64:S66)</f>
        <v>18457.68</v>
      </c>
      <c r="J67" s="28">
        <f>Source!CA28</f>
        <v>61</v>
      </c>
      <c r="K67" s="32">
        <f>SUM(T64:T66)</f>
        <v>16084.55</v>
      </c>
    </row>
    <row r="68" spans="1:11" ht="15.75">
      <c r="A68" s="36"/>
      <c r="B68" s="37"/>
      <c r="C68" s="38" t="s">
        <v>141</v>
      </c>
      <c r="D68" s="39" t="s">
        <v>142</v>
      </c>
      <c r="E68" s="40">
        <f>Source!AQ28</f>
        <v>1655</v>
      </c>
      <c r="F68" s="41"/>
      <c r="G68" s="42">
        <f>Source!DI28</f>
      </c>
      <c r="H68" s="40"/>
      <c r="I68" s="43">
        <f>Source!U28</f>
        <v>1655</v>
      </c>
      <c r="J68" s="40"/>
      <c r="K68" s="43"/>
    </row>
    <row r="69" spans="8:27" ht="15.75">
      <c r="H69" s="35">
        <f>ROUND(Source!CQ28*Source!I28/IF(Source!BC28&lt;&gt;0,Source!BC28,1),2)+ROUND(Source!CT28*Source!I28/IF(Source!BA28&lt;&gt;0,Source!BA28,1),2)+ROUND(Source!CR28*Source!I28/IF(Source!BB28&lt;&gt;0,Source!BB28,1),2)+SUM(I66:I67)</f>
        <v>64601.89</v>
      </c>
      <c r="I69" s="35"/>
      <c r="J69" s="35">
        <f>Source!O28+SUM(K66:K67)</f>
        <v>61965.08</v>
      </c>
      <c r="K69" s="35"/>
      <c r="O69" s="33">
        <f>H69</f>
        <v>64601.89</v>
      </c>
      <c r="P69" s="33">
        <f>J69</f>
        <v>61965.08</v>
      </c>
      <c r="X69">
        <f>IF(Source!BI28&lt;=1,H69,0)</f>
        <v>0</v>
      </c>
      <c r="Y69">
        <f>IF(Source!BI28=2,H69,0)</f>
        <v>64601.89</v>
      </c>
      <c r="Z69">
        <f>IF(Source!BI28=3,H69,0)</f>
        <v>0</v>
      </c>
      <c r="AA69">
        <f>IF(Source!BI28=4,H69,0)</f>
        <v>0</v>
      </c>
    </row>
    <row r="70" spans="1:22" ht="126">
      <c r="A70" s="26" t="str">
        <f>Source!E29</f>
        <v>6</v>
      </c>
      <c r="B70" s="27" t="str">
        <f>Source!F29</f>
        <v>1.23-13-14</v>
      </c>
      <c r="C70" s="25" t="str">
        <f>Source!G29</f>
        <v>ПРОВОДА СИЛОВЫЕ С АЛЮМИНИЕВЫМИ ЖИЛАМИ В ПОЛИВИНИЛХЛОРИДНОЙ ИЗОЛЯЦИИ, МАРКА АПВ, НАПРЯЖЕНИЕ 380 В, СЕЧЕНИЕ 95 ММ2</v>
      </c>
      <c r="D70" s="29" t="str">
        <f>Source!H29</f>
        <v>км</v>
      </c>
      <c r="E70" s="28">
        <f>ROUND(Source!I29,6)</f>
        <v>1</v>
      </c>
      <c r="F70" s="31"/>
      <c r="G70" s="30"/>
      <c r="H70" s="28"/>
      <c r="I70" s="32"/>
      <c r="J70" s="28"/>
      <c r="K70" s="32"/>
      <c r="Q70">
        <f>ROUND((Source!DN29/100)*ROUND(Source!CT29*Source!I29/IF(Source!BA29&lt;&gt;0,Source!BA29,1),2),2)</f>
        <v>0</v>
      </c>
      <c r="R70">
        <f>Source!X29</f>
        <v>0</v>
      </c>
      <c r="S70">
        <f>ROUND((Source!DO29/100)*ROUND(Source!CT29*Source!I29/IF(Source!BA29&lt;&gt;0,Source!BA29,1),2),2)</f>
        <v>0</v>
      </c>
      <c r="T70">
        <f>Source!Y29</f>
        <v>0</v>
      </c>
      <c r="U70">
        <f>ROUND((175/100)*ROUND(Source!CS29*Source!I29/IF(Source!BS29&lt;&gt;0,Source!BS29,1),2),2)</f>
        <v>0</v>
      </c>
      <c r="V70">
        <f>ROUND((180/100)*ROUND(Source!CS29*Source!I29,2),2)</f>
        <v>0</v>
      </c>
    </row>
    <row r="71" spans="1:11" ht="15.75">
      <c r="A71" s="36"/>
      <c r="B71" s="37"/>
      <c r="C71" s="38" t="s">
        <v>136</v>
      </c>
      <c r="D71" s="39"/>
      <c r="E71" s="40"/>
      <c r="F71" s="41">
        <f>Source!AL29</f>
        <v>19064.8</v>
      </c>
      <c r="G71" s="42">
        <f>Source!DD29</f>
      </c>
      <c r="H71" s="40">
        <f>Source!AW29</f>
        <v>1</v>
      </c>
      <c r="I71" s="43">
        <f>ROUND(Source!CQ29*Source!I29/IF(Source!BC29&lt;&gt;0,Source!BC29,1),2)</f>
        <v>19064.8</v>
      </c>
      <c r="J71" s="40">
        <f>IF(Source!BC29&lt;&gt;0,Source!BC29,1)</f>
        <v>1</v>
      </c>
      <c r="K71" s="43">
        <f>Source!P29</f>
        <v>19064.8</v>
      </c>
    </row>
    <row r="72" spans="8:27" ht="15.75">
      <c r="H72" s="35">
        <f>ROUND(Source!CQ29*Source!I29/IF(Source!BC29&lt;&gt;0,Source!BC29,1),2)+ROUND(Source!CT29*Source!I29/IF(Source!BA29&lt;&gt;0,Source!BA29,1),2)+ROUND(Source!CR29*Source!I29/IF(Source!BB29&lt;&gt;0,Source!BB29,1),2)</f>
        <v>19064.8</v>
      </c>
      <c r="I72" s="35"/>
      <c r="J72" s="35">
        <f>Source!O29</f>
        <v>19064.8</v>
      </c>
      <c r="K72" s="35"/>
      <c r="O72">
        <f>H72</f>
        <v>19064.8</v>
      </c>
      <c r="P72">
        <f>J72</f>
        <v>19064.8</v>
      </c>
      <c r="X72">
        <f>IF(Source!BI29&lt;=1,H72,0)</f>
        <v>0</v>
      </c>
      <c r="Y72">
        <f>IF(Source!BI29=2,H72,0)</f>
        <v>0</v>
      </c>
      <c r="Z72">
        <f>IF(Source!BI29=3,H72,0)</f>
        <v>0</v>
      </c>
      <c r="AA72">
        <f>IF(Source!BI29=4,H72,0)</f>
        <v>19064.8</v>
      </c>
    </row>
    <row r="73" spans="1:22" ht="126">
      <c r="A73" s="26" t="str">
        <f>Source!E30</f>
        <v>7</v>
      </c>
      <c r="B73" s="27" t="str">
        <f>Source!F30</f>
        <v>1.14-2-23</v>
      </c>
      <c r="C73" s="25" t="str">
        <f>Source!G30</f>
        <v>ПРИБОРЫ И УСТРОЙСТВА СИГНАЛЬНЫЕ, ТИП СИГНАЛ-37М, ПРИБОР ПРИЕМНО-КОНТРОЛЬНЫЙ ОХРАННОЙ СИГНАЛИЗАЦИИ</v>
      </c>
      <c r="D73" s="29" t="str">
        <f>Source!H30</f>
        <v>шт.</v>
      </c>
      <c r="E73" s="28">
        <f>ROUND(Source!I30,6)</f>
        <v>1</v>
      </c>
      <c r="F73" s="31"/>
      <c r="G73" s="30"/>
      <c r="H73" s="28"/>
      <c r="I73" s="32"/>
      <c r="J73" s="28"/>
      <c r="K73" s="32"/>
      <c r="Q73">
        <f>ROUND((Source!DN30/100)*ROUND(Source!CT30*Source!I30/IF(Source!BA30&lt;&gt;0,Source!BA30,1),2),2)</f>
        <v>0</v>
      </c>
      <c r="R73">
        <f>Source!X30</f>
        <v>0</v>
      </c>
      <c r="S73">
        <f>ROUND((Source!DO30/100)*ROUND(Source!CT30*Source!I30/IF(Source!BA30&lt;&gt;0,Source!BA30,1),2),2)</f>
        <v>0</v>
      </c>
      <c r="T73">
        <f>Source!Y30</f>
        <v>0</v>
      </c>
      <c r="U73">
        <f>ROUND((175/100)*ROUND(Source!CS30*Source!I30/IF(Source!BS30&lt;&gt;0,Source!BS30,1),2),2)</f>
        <v>0</v>
      </c>
      <c r="V73">
        <f>ROUND((180/100)*ROUND(Source!CS30*Source!I30,2),2)</f>
        <v>0</v>
      </c>
    </row>
    <row r="74" spans="1:11" ht="15.75">
      <c r="A74" s="36"/>
      <c r="B74" s="37"/>
      <c r="C74" s="38" t="s">
        <v>136</v>
      </c>
      <c r="D74" s="39"/>
      <c r="E74" s="40"/>
      <c r="F74" s="41">
        <f>Source!AL30</f>
        <v>356.15</v>
      </c>
      <c r="G74" s="42">
        <f>Source!DD30</f>
      </c>
      <c r="H74" s="40">
        <f>Source!AW30</f>
        <v>1</v>
      </c>
      <c r="I74" s="43">
        <f>ROUND(Source!CQ30*Source!I30/IF(Source!BC30&lt;&gt;0,Source!BC30,1),2)</f>
        <v>356.15</v>
      </c>
      <c r="J74" s="40">
        <f>IF(Source!BC30&lt;&gt;0,Source!BC30,1)</f>
        <v>1</v>
      </c>
      <c r="K74" s="43">
        <f>Source!P30</f>
        <v>356.15</v>
      </c>
    </row>
    <row r="75" spans="8:27" ht="15.75">
      <c r="H75" s="35">
        <f>ROUND(Source!CQ30*Source!I30/IF(Source!BC30&lt;&gt;0,Source!BC30,1),2)+ROUND(Source!CT30*Source!I30/IF(Source!BA30&lt;&gt;0,Source!BA30,1),2)+ROUND(Source!CR30*Source!I30/IF(Source!BB30&lt;&gt;0,Source!BB30,1),2)</f>
        <v>356.15</v>
      </c>
      <c r="I75" s="35"/>
      <c r="J75" s="35">
        <f>Source!O30</f>
        <v>356.15</v>
      </c>
      <c r="K75" s="35"/>
      <c r="O75">
        <f>H75</f>
        <v>356.15</v>
      </c>
      <c r="P75">
        <f>J75</f>
        <v>356.15</v>
      </c>
      <c r="X75">
        <f>IF(Source!BI30&lt;=1,H75,0)</f>
        <v>0</v>
      </c>
      <c r="Y75">
        <f>IF(Source!BI30=2,H75,0)</f>
        <v>0</v>
      </c>
      <c r="Z75">
        <f>IF(Source!BI30=3,H75,0)</f>
        <v>0</v>
      </c>
      <c r="AA75">
        <f>IF(Source!BI30=4,H75,0)</f>
        <v>356.15</v>
      </c>
    </row>
    <row r="76" spans="1:22" ht="94.5">
      <c r="A76" s="26" t="str">
        <f>Source!E31</f>
        <v>8</v>
      </c>
      <c r="B76" s="27" t="str">
        <f>Source!F31</f>
        <v>1.14-2-19</v>
      </c>
      <c r="C76" s="25" t="str">
        <f>Source!G31</f>
        <v>ПРИБОРЫ И УСТРОЙСТВА СИГНАЛЬНЫЕ, ТИП ППСДУ-32, ПРИБОР ПОЖАРНОЙ СИГНАЛИЗАЦИИ</v>
      </c>
      <c r="D76" s="29" t="str">
        <f>Source!H31</f>
        <v>шт.</v>
      </c>
      <c r="E76" s="28">
        <f>ROUND(Source!I31,6)</f>
        <v>1</v>
      </c>
      <c r="F76" s="31"/>
      <c r="G76" s="30"/>
      <c r="H76" s="28"/>
      <c r="I76" s="32"/>
      <c r="J76" s="28"/>
      <c r="K76" s="32"/>
      <c r="Q76">
        <f>ROUND((Source!DN31/100)*ROUND(Source!CT31*Source!I31/IF(Source!BA31&lt;&gt;0,Source!BA31,1),2),2)</f>
        <v>0</v>
      </c>
      <c r="R76">
        <f>Source!X31</f>
        <v>0</v>
      </c>
      <c r="S76">
        <f>ROUND((Source!DO31/100)*ROUND(Source!CT31*Source!I31/IF(Source!BA31&lt;&gt;0,Source!BA31,1),2),2)</f>
        <v>0</v>
      </c>
      <c r="T76">
        <f>Source!Y31</f>
        <v>0</v>
      </c>
      <c r="U76">
        <f>ROUND((175/100)*ROUND(Source!CS31*Source!I31/IF(Source!BS31&lt;&gt;0,Source!BS31,1),2),2)</f>
        <v>0</v>
      </c>
      <c r="V76">
        <f>ROUND((180/100)*ROUND(Source!CS31*Source!I31,2),2)</f>
        <v>0</v>
      </c>
    </row>
    <row r="77" spans="1:11" ht="15.75">
      <c r="A77" s="36"/>
      <c r="B77" s="37"/>
      <c r="C77" s="38" t="s">
        <v>136</v>
      </c>
      <c r="D77" s="39"/>
      <c r="E77" s="40"/>
      <c r="F77" s="41">
        <f>Source!AL31</f>
        <v>3343.05</v>
      </c>
      <c r="G77" s="42">
        <f>Source!DD31</f>
      </c>
      <c r="H77" s="40">
        <f>Source!AW31</f>
        <v>1</v>
      </c>
      <c r="I77" s="43">
        <f>ROUND(Source!CQ31*Source!I31/IF(Source!BC31&lt;&gt;0,Source!BC31,1),2)</f>
        <v>3343.05</v>
      </c>
      <c r="J77" s="40">
        <f>IF(Source!BC31&lt;&gt;0,Source!BC31,1)</f>
        <v>1</v>
      </c>
      <c r="K77" s="43">
        <f>Source!P31</f>
        <v>3343.05</v>
      </c>
    </row>
    <row r="78" spans="8:27" ht="15.75">
      <c r="H78" s="35">
        <f>ROUND(Source!CQ31*Source!I31/IF(Source!BC31&lt;&gt;0,Source!BC31,1),2)+ROUND(Source!CT31*Source!I31/IF(Source!BA31&lt;&gt;0,Source!BA31,1),2)+ROUND(Source!CR31*Source!I31/IF(Source!BB31&lt;&gt;0,Source!BB31,1),2)</f>
        <v>3343.05</v>
      </c>
      <c r="I78" s="35"/>
      <c r="J78" s="35">
        <f>Source!O31</f>
        <v>3343.05</v>
      </c>
      <c r="K78" s="35"/>
      <c r="O78">
        <f>H78</f>
        <v>3343.05</v>
      </c>
      <c r="P78">
        <f>J78</f>
        <v>3343.05</v>
      </c>
      <c r="X78">
        <f>IF(Source!BI31&lt;=1,H78,0)</f>
        <v>0</v>
      </c>
      <c r="Y78">
        <f>IF(Source!BI31=2,H78,0)</f>
        <v>0</v>
      </c>
      <c r="Z78">
        <f>IF(Source!BI31=3,H78,0)</f>
        <v>0</v>
      </c>
      <c r="AA78">
        <f>IF(Source!BI31=4,H78,0)</f>
        <v>3343.05</v>
      </c>
    </row>
    <row r="79" spans="1:22" ht="47.25">
      <c r="A79" s="26" t="str">
        <f>Source!E32</f>
        <v>9</v>
      </c>
      <c r="B79" s="27" t="str">
        <f>Source!F32</f>
        <v>1.14-2-8</v>
      </c>
      <c r="C79" s="25" t="str">
        <f>Source!G32</f>
        <v>ИЗВЕЩАТЕЛИ ПОЖАРНЫЕ, ТИП ИПР, РУЧНЫЕ</v>
      </c>
      <c r="D79" s="29" t="str">
        <f>Source!H32</f>
        <v>шт.</v>
      </c>
      <c r="E79" s="28">
        <f>ROUND(Source!I32,6)</f>
        <v>1</v>
      </c>
      <c r="F79" s="31"/>
      <c r="G79" s="30"/>
      <c r="H79" s="28"/>
      <c r="I79" s="32"/>
      <c r="J79" s="28"/>
      <c r="K79" s="32"/>
      <c r="Q79">
        <f>ROUND((Source!DN32/100)*ROUND(Source!CT32*Source!I32/IF(Source!BA32&lt;&gt;0,Source!BA32,1),2),2)</f>
        <v>0</v>
      </c>
      <c r="R79">
        <f>Source!X32</f>
        <v>0</v>
      </c>
      <c r="S79">
        <f>ROUND((Source!DO32/100)*ROUND(Source!CT32*Source!I32/IF(Source!BA32&lt;&gt;0,Source!BA32,1),2),2)</f>
        <v>0</v>
      </c>
      <c r="T79">
        <f>Source!Y32</f>
        <v>0</v>
      </c>
      <c r="U79">
        <f>ROUND((175/100)*ROUND(Source!CS32*Source!I32/IF(Source!BS32&lt;&gt;0,Source!BS32,1),2),2)</f>
        <v>0</v>
      </c>
      <c r="V79">
        <f>ROUND((180/100)*ROUND(Source!CS32*Source!I32,2),2)</f>
        <v>0</v>
      </c>
    </row>
    <row r="80" spans="1:11" ht="15.75">
      <c r="A80" s="36"/>
      <c r="B80" s="37"/>
      <c r="C80" s="38" t="s">
        <v>136</v>
      </c>
      <c r="D80" s="39"/>
      <c r="E80" s="40"/>
      <c r="F80" s="41">
        <f>Source!AL32</f>
        <v>89.58</v>
      </c>
      <c r="G80" s="42">
        <f>Source!DD32</f>
      </c>
      <c r="H80" s="40">
        <f>Source!AW32</f>
        <v>1</v>
      </c>
      <c r="I80" s="43">
        <f>ROUND(Source!CQ32*Source!I32/IF(Source!BC32&lt;&gt;0,Source!BC32,1),2)</f>
        <v>89.58</v>
      </c>
      <c r="J80" s="40">
        <f>IF(Source!BC32&lt;&gt;0,Source!BC32,1)</f>
        <v>1</v>
      </c>
      <c r="K80" s="43">
        <f>Source!P32</f>
        <v>89.58</v>
      </c>
    </row>
    <row r="81" spans="8:27" ht="15.75">
      <c r="H81" s="35">
        <f>ROUND(Source!CQ32*Source!I32/IF(Source!BC32&lt;&gt;0,Source!BC32,1),2)+ROUND(Source!CT32*Source!I32/IF(Source!BA32&lt;&gt;0,Source!BA32,1),2)+ROUND(Source!CR32*Source!I32/IF(Source!BB32&lt;&gt;0,Source!BB32,1),2)</f>
        <v>89.58</v>
      </c>
      <c r="I81" s="35"/>
      <c r="J81" s="35">
        <f>Source!O32</f>
        <v>89.58</v>
      </c>
      <c r="K81" s="35"/>
      <c r="O81">
        <f>H81</f>
        <v>89.58</v>
      </c>
      <c r="P81">
        <f>J81</f>
        <v>89.58</v>
      </c>
      <c r="X81">
        <f>IF(Source!BI32&lt;=1,H81,0)</f>
        <v>0</v>
      </c>
      <c r="Y81">
        <f>IF(Source!BI32=2,H81,0)</f>
        <v>0</v>
      </c>
      <c r="Z81">
        <f>IF(Source!BI32=3,H81,0)</f>
        <v>0</v>
      </c>
      <c r="AA81">
        <f>IF(Source!BI32=4,H81,0)</f>
        <v>89.58</v>
      </c>
    </row>
    <row r="83" spans="1:28" ht="15.75">
      <c r="A83" s="45" t="str">
        <f>CONCATENATE("Итого по локальной смете: ",Source!G34)</f>
        <v>Итого по локальной смете: ПОЖАРНАЯ СИГНАЛИЗАЦИЯ</v>
      </c>
      <c r="B83" s="45"/>
      <c r="C83" s="45"/>
      <c r="D83" s="45"/>
      <c r="E83" s="45"/>
      <c r="F83" s="45"/>
      <c r="G83" s="45"/>
      <c r="H83" s="35">
        <f>SUM(O24:O82)</f>
        <v>90636.47</v>
      </c>
      <c r="I83" s="44"/>
      <c r="J83" s="35">
        <f>SUM(P24:P82)</f>
        <v>88054.32</v>
      </c>
      <c r="K83" s="44"/>
      <c r="AB83" s="46" t="s">
        <v>143</v>
      </c>
    </row>
    <row r="85" spans="3:11" ht="15.75">
      <c r="C85" s="25" t="str">
        <f>Source!H54</f>
        <v>ИТОГО ПО СМЕТЕ</v>
      </c>
      <c r="J85" s="34">
        <f>Source!F54</f>
        <v>88054.25</v>
      </c>
      <c r="K85" s="34"/>
    </row>
    <row r="86" spans="3:11" ht="15.75">
      <c r="C86" s="25" t="str">
        <f>Source!H55</f>
        <v>НДС - 20%</v>
      </c>
      <c r="J86" s="34">
        <f>Source!F55</f>
        <v>17610.85</v>
      </c>
      <c r="K86" s="34"/>
    </row>
    <row r="87" spans="3:11" ht="15.75">
      <c r="C87" s="25" t="str">
        <f>Source!H56</f>
        <v>ВСЕГО ПО СМЕТЕ</v>
      </c>
      <c r="J87" s="34">
        <f>Source!F56</f>
        <v>105665.1</v>
      </c>
      <c r="K87" s="34"/>
    </row>
    <row r="89" spans="1:28" ht="15.75">
      <c r="A89" s="45" t="str">
        <f>CONCATENATE("Итого по смете: ",Source!G58)</f>
        <v>Итого по смете: ДОМ №10 Смета на пожарную сигнализацию</v>
      </c>
      <c r="B89" s="45"/>
      <c r="C89" s="45"/>
      <c r="D89" s="45"/>
      <c r="E89" s="45"/>
      <c r="F89" s="45"/>
      <c r="G89" s="45"/>
      <c r="H89" s="35">
        <f>SUM(O1:O88)</f>
        <v>90636.47</v>
      </c>
      <c r="I89" s="44"/>
      <c r="J89" s="35">
        <f>SUM(P1:P88)</f>
        <v>88054.32</v>
      </c>
      <c r="K89" s="44"/>
      <c r="AB89" s="46" t="s">
        <v>144</v>
      </c>
    </row>
    <row r="92" spans="1:11" ht="15.75">
      <c r="A92" s="47" t="s">
        <v>145</v>
      </c>
      <c r="B92" s="47"/>
      <c r="C92" s="48" t="str">
        <f>IF(Source!AC12&lt;&gt;"",Source!AC12," ")</f>
        <v> </v>
      </c>
      <c r="D92" s="48"/>
      <c r="E92" s="48"/>
      <c r="F92" s="48"/>
      <c r="G92" s="48"/>
      <c r="H92" s="9" t="str">
        <f>IF(Source!AB12&lt;&gt;"",Source!AB12," ")</f>
        <v> </v>
      </c>
      <c r="I92" s="9"/>
      <c r="J92" s="9"/>
      <c r="K92" s="9"/>
    </row>
    <row r="93" spans="1:11" ht="15.75">
      <c r="A93" s="9"/>
      <c r="B93" s="9"/>
      <c r="C93" s="8" t="s">
        <v>146</v>
      </c>
      <c r="D93" s="8"/>
      <c r="E93" s="8"/>
      <c r="F93" s="8"/>
      <c r="G93" s="8"/>
      <c r="H93" s="9"/>
      <c r="I93" s="9"/>
      <c r="J93" s="9"/>
      <c r="K93" s="9"/>
    </row>
    <row r="94" spans="1:11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.75">
      <c r="A95" s="47" t="s">
        <v>147</v>
      </c>
      <c r="B95" s="47"/>
      <c r="C95" s="48" t="str">
        <f>IF(Source!AE12&lt;&gt;"",Source!AE12," ")</f>
        <v> </v>
      </c>
      <c r="D95" s="48"/>
      <c r="E95" s="48"/>
      <c r="F95" s="48"/>
      <c r="G95" s="48"/>
      <c r="H95" s="9" t="str">
        <f>IF(Source!AD12&lt;&gt;"",Source!AD12," ")</f>
        <v> </v>
      </c>
      <c r="I95" s="9"/>
      <c r="J95" s="9"/>
      <c r="K95" s="9"/>
    </row>
    <row r="96" spans="1:11" ht="15.75">
      <c r="A96" s="9"/>
      <c r="B96" s="9"/>
      <c r="C96" s="8" t="s">
        <v>146</v>
      </c>
      <c r="D96" s="8"/>
      <c r="E96" s="8"/>
      <c r="F96" s="8"/>
      <c r="G96" s="8"/>
      <c r="H96" s="9"/>
      <c r="I96" s="9"/>
      <c r="J96" s="9"/>
      <c r="K96" s="9"/>
    </row>
  </sheetData>
  <sheetProtection/>
  <mergeCells count="45">
    <mergeCell ref="C93:G93"/>
    <mergeCell ref="A95:B95"/>
    <mergeCell ref="C96:G96"/>
    <mergeCell ref="J86:K86"/>
    <mergeCell ref="J87:K87"/>
    <mergeCell ref="J89:K89"/>
    <mergeCell ref="H89:I89"/>
    <mergeCell ref="A89:G89"/>
    <mergeCell ref="A92:B92"/>
    <mergeCell ref="J81:K81"/>
    <mergeCell ref="H81:I81"/>
    <mergeCell ref="J83:K83"/>
    <mergeCell ref="H83:I83"/>
    <mergeCell ref="A83:G83"/>
    <mergeCell ref="J85:K85"/>
    <mergeCell ref="J72:K72"/>
    <mergeCell ref="H72:I72"/>
    <mergeCell ref="J75:K75"/>
    <mergeCell ref="H75:I75"/>
    <mergeCell ref="J78:K78"/>
    <mergeCell ref="H78:I78"/>
    <mergeCell ref="J53:K53"/>
    <mergeCell ref="H53:I53"/>
    <mergeCell ref="J63:K63"/>
    <mergeCell ref="H63:I63"/>
    <mergeCell ref="J69:K69"/>
    <mergeCell ref="H69:I69"/>
    <mergeCell ref="F19:H19"/>
    <mergeCell ref="F20:H20"/>
    <mergeCell ref="J33:K33"/>
    <mergeCell ref="H33:I33"/>
    <mergeCell ref="J43:K43"/>
    <mergeCell ref="H43:I43"/>
    <mergeCell ref="B11:K11"/>
    <mergeCell ref="A13:K13"/>
    <mergeCell ref="F15:H15"/>
    <mergeCell ref="F16:H16"/>
    <mergeCell ref="F17:H17"/>
    <mergeCell ref="F18:H18"/>
    <mergeCell ref="A2:K2"/>
    <mergeCell ref="A3:K3"/>
    <mergeCell ref="A5:K5"/>
    <mergeCell ref="A6:K6"/>
    <mergeCell ref="A8:K8"/>
    <mergeCell ref="B10:K10"/>
  </mergeCells>
  <printOptions/>
  <pageMargins left="0.4" right="0.4" top="0.2" bottom="0.2" header="0.2" footer="0.2"/>
  <pageSetup horizontalDpi="600" verticalDpi="600" orientation="portrait" paperSize="9" scale="6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8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 s="1">
        <v>1</v>
      </c>
      <c r="B12" s="1">
        <v>82</v>
      </c>
      <c r="C12" s="1">
        <v>0</v>
      </c>
      <c r="D12" s="1">
        <f>ROW(A58)</f>
        <v>58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180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0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B58</f>
        <v>82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ДОМ №10 (ТСН-2001. ТЕРРИТОРИАЛЬНЫЕ СМЕТНЫЕ НОРМАТИВЫ ДЛЯ МОС</v>
      </c>
      <c r="G18" s="2" t="str">
        <f t="shared" si="0"/>
        <v>ДОМ №10 Смета на пожарную сигнализацию</v>
      </c>
      <c r="H18" s="2"/>
      <c r="I18" s="2"/>
      <c r="J18" s="2"/>
      <c r="K18" s="2"/>
      <c r="L18" s="2"/>
      <c r="M18" s="2"/>
      <c r="N18" s="2"/>
      <c r="O18" s="2">
        <f aca="true" t="shared" si="1" ref="O18:AT18">O58</f>
        <v>50412.48</v>
      </c>
      <c r="P18" s="2">
        <f t="shared" si="1"/>
        <v>22948.5</v>
      </c>
      <c r="Q18" s="2">
        <f t="shared" si="1"/>
        <v>2.6</v>
      </c>
      <c r="R18" s="2">
        <f t="shared" si="1"/>
        <v>0.27</v>
      </c>
      <c r="S18" s="2">
        <f t="shared" si="1"/>
        <v>27461.38</v>
      </c>
      <c r="T18" s="2">
        <f t="shared" si="1"/>
        <v>0</v>
      </c>
      <c r="U18" s="2">
        <f t="shared" si="1"/>
        <v>1739.807</v>
      </c>
      <c r="V18" s="2">
        <f t="shared" si="1"/>
        <v>0</v>
      </c>
      <c r="W18" s="2">
        <f t="shared" si="1"/>
        <v>0</v>
      </c>
      <c r="X18" s="2">
        <f t="shared" si="1"/>
        <v>20824.32</v>
      </c>
      <c r="Y18" s="2">
        <f t="shared" si="1"/>
        <v>16817.03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88054.32</v>
      </c>
      <c r="AS18" s="2">
        <f t="shared" si="1"/>
        <v>0</v>
      </c>
      <c r="AT18" s="2">
        <f t="shared" si="1"/>
        <v>65200.74</v>
      </c>
      <c r="AU18" s="2">
        <f aca="true" t="shared" si="2" ref="AU18:BZ18">AU58</f>
        <v>22853.58</v>
      </c>
      <c r="AV18" s="2">
        <f t="shared" si="2"/>
        <v>0</v>
      </c>
      <c r="AW18" s="2">
        <f t="shared" si="2"/>
        <v>0</v>
      </c>
      <c r="AX18" s="2">
        <f t="shared" si="2"/>
        <v>0</v>
      </c>
      <c r="AY18" s="2">
        <f t="shared" si="2"/>
        <v>0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CA58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DG58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68" ht="12.75">
      <c r="A20" s="1">
        <v>3</v>
      </c>
      <c r="B20" s="1">
        <v>1</v>
      </c>
      <c r="C20" s="1"/>
      <c r="D20" s="1">
        <f>ROW(A34)</f>
        <v>34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1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  <c r="BP20" s="1" t="s">
        <v>3</v>
      </c>
    </row>
    <row r="22" spans="1:118" ht="12.75">
      <c r="A22" s="2">
        <v>52</v>
      </c>
      <c r="B22" s="2">
        <f aca="true" t="shared" si="5" ref="B22:G22">B34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ПОЖАРНАЯ СИГНАЛИЗАЦИЯ</v>
      </c>
      <c r="G22" s="2" t="str">
        <f t="shared" si="5"/>
        <v>ПОЖАРНАЯ СИГНАЛИЗАЦИЯ</v>
      </c>
      <c r="H22" s="2"/>
      <c r="I22" s="2"/>
      <c r="J22" s="2"/>
      <c r="K22" s="2"/>
      <c r="L22" s="2"/>
      <c r="M22" s="2"/>
      <c r="N22" s="2"/>
      <c r="O22" s="2">
        <f aca="true" t="shared" si="6" ref="O22:AT22">O34</f>
        <v>50412.48</v>
      </c>
      <c r="P22" s="2">
        <f t="shared" si="6"/>
        <v>22948.5</v>
      </c>
      <c r="Q22" s="2">
        <f t="shared" si="6"/>
        <v>2.6</v>
      </c>
      <c r="R22" s="2">
        <f t="shared" si="6"/>
        <v>0.27</v>
      </c>
      <c r="S22" s="2">
        <f t="shared" si="6"/>
        <v>27461.38</v>
      </c>
      <c r="T22" s="2">
        <f t="shared" si="6"/>
        <v>0</v>
      </c>
      <c r="U22" s="2">
        <f t="shared" si="6"/>
        <v>1739.807</v>
      </c>
      <c r="V22" s="2">
        <f t="shared" si="6"/>
        <v>0</v>
      </c>
      <c r="W22" s="2">
        <f t="shared" si="6"/>
        <v>0</v>
      </c>
      <c r="X22" s="2">
        <f t="shared" si="6"/>
        <v>20824.32</v>
      </c>
      <c r="Y22" s="2">
        <f t="shared" si="6"/>
        <v>16817.03</v>
      </c>
      <c r="Z22" s="2">
        <f t="shared" si="6"/>
        <v>0</v>
      </c>
      <c r="AA22" s="2">
        <f t="shared" si="6"/>
        <v>0</v>
      </c>
      <c r="AB22" s="2">
        <f t="shared" si="6"/>
        <v>50412.48</v>
      </c>
      <c r="AC22" s="2">
        <f t="shared" si="6"/>
        <v>22948.5</v>
      </c>
      <c r="AD22" s="2">
        <f t="shared" si="6"/>
        <v>2.6</v>
      </c>
      <c r="AE22" s="2">
        <f t="shared" si="6"/>
        <v>0.27</v>
      </c>
      <c r="AF22" s="2">
        <f t="shared" si="6"/>
        <v>27461.38</v>
      </c>
      <c r="AG22" s="2">
        <f t="shared" si="6"/>
        <v>0</v>
      </c>
      <c r="AH22" s="2">
        <f t="shared" si="6"/>
        <v>1739.807</v>
      </c>
      <c r="AI22" s="2">
        <f t="shared" si="6"/>
        <v>0</v>
      </c>
      <c r="AJ22" s="2">
        <f t="shared" si="6"/>
        <v>0</v>
      </c>
      <c r="AK22" s="2">
        <f t="shared" si="6"/>
        <v>20824.32</v>
      </c>
      <c r="AL22" s="2">
        <f t="shared" si="6"/>
        <v>16817.03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88054.32</v>
      </c>
      <c r="AS22" s="2">
        <f t="shared" si="6"/>
        <v>0</v>
      </c>
      <c r="AT22" s="2">
        <f t="shared" si="6"/>
        <v>65200.74</v>
      </c>
      <c r="AU22" s="2">
        <f aca="true" t="shared" si="7" ref="AU22:BZ22">AU34</f>
        <v>22853.58</v>
      </c>
      <c r="AV22" s="2">
        <f t="shared" si="7"/>
        <v>0</v>
      </c>
      <c r="AW22" s="2">
        <f t="shared" si="7"/>
        <v>0</v>
      </c>
      <c r="AX22" s="2">
        <f t="shared" si="7"/>
        <v>0</v>
      </c>
      <c r="AY22" s="2">
        <f t="shared" si="7"/>
        <v>0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88054.32</v>
      </c>
      <c r="BF22" s="2">
        <f t="shared" si="7"/>
        <v>0</v>
      </c>
      <c r="BG22" s="2">
        <f t="shared" si="7"/>
        <v>65200.74</v>
      </c>
      <c r="BH22" s="2">
        <f t="shared" si="7"/>
        <v>22853.58</v>
      </c>
      <c r="BI22" s="2">
        <f t="shared" si="7"/>
        <v>0</v>
      </c>
      <c r="BJ22" s="2">
        <f t="shared" si="7"/>
        <v>0</v>
      </c>
      <c r="BK22" s="2">
        <f t="shared" si="7"/>
        <v>0</v>
      </c>
      <c r="BL22" s="2">
        <f t="shared" si="7"/>
        <v>0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CA34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DG34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10" ref="O24:O32">ROUND(CP24,2)</f>
        <v>444.97</v>
      </c>
      <c r="P24">
        <f aca="true" t="shared" si="11" ref="P24:P32">ROUND(CQ24*I24,2)</f>
        <v>68.18</v>
      </c>
      <c r="Q24">
        <f aca="true" t="shared" si="12" ref="Q24:Q32">ROUND(CR24*I24,2)</f>
        <v>2.41</v>
      </c>
      <c r="R24">
        <f aca="true" t="shared" si="13" ref="R24:R32">ROUND(CS24*I24,2)</f>
        <v>0.24</v>
      </c>
      <c r="S24">
        <f aca="true" t="shared" si="14" ref="S24:S32">ROUND(CT24*I24,2)</f>
        <v>374.38</v>
      </c>
      <c r="T24">
        <f aca="true" t="shared" si="15" ref="T24:T32">ROUND(CU24*I24,2)</f>
        <v>0</v>
      </c>
      <c r="U24">
        <f aca="true" t="shared" si="16" ref="U24:U32">CV24*I24</f>
        <v>30.363</v>
      </c>
      <c r="V24">
        <f aca="true" t="shared" si="17" ref="V24:V32">CW24*I24</f>
        <v>0</v>
      </c>
      <c r="W24">
        <f aca="true" t="shared" si="18" ref="W24:W32">ROUND(CX24*I24,2)</f>
        <v>0</v>
      </c>
      <c r="X24">
        <f aca="true" t="shared" si="19" ref="X24:X32">ROUND(CY24,2)</f>
        <v>449.26</v>
      </c>
      <c r="Y24">
        <f aca="true" t="shared" si="20" ref="Y24:Y32">ROUND(CZ24,2)</f>
        <v>250.83</v>
      </c>
      <c r="AA24">
        <v>22534332</v>
      </c>
      <c r="AB24">
        <f aca="true" t="shared" si="21" ref="AB24:AB32">(AC24+AD24+AF24)</f>
        <v>428.05</v>
      </c>
      <c r="AC24">
        <f aca="true" t="shared" si="22" ref="AC24:AC32">(ES24)</f>
        <v>68.18</v>
      </c>
      <c r="AD24">
        <f aca="true" t="shared" si="23" ref="AD24:AD32">(ET24)</f>
        <v>2.3</v>
      </c>
      <c r="AE24">
        <f aca="true" t="shared" si="24" ref="AE24:AE32">(EU24)</f>
        <v>0.23</v>
      </c>
      <c r="AF24">
        <f aca="true" t="shared" si="25" ref="AF24:AF32">(EV24)</f>
        <v>357.57</v>
      </c>
      <c r="AG24">
        <f aca="true" t="shared" si="26" ref="AG24:AG32">(AP24)</f>
        <v>0</v>
      </c>
      <c r="AH24">
        <f aca="true" t="shared" si="27" ref="AH24:AH32">(EW24)</f>
        <v>29</v>
      </c>
      <c r="AI24">
        <f aca="true" t="shared" si="28" ref="AI24:AI32">(EX24)</f>
        <v>0</v>
      </c>
      <c r="AJ24">
        <f aca="true" t="shared" si="29" ref="AJ24:AJ32">(AS24)</f>
        <v>0</v>
      </c>
      <c r="AK24">
        <v>428.05</v>
      </c>
      <c r="AL24">
        <v>68.18</v>
      </c>
      <c r="AM24">
        <v>2.3</v>
      </c>
      <c r="AN24">
        <v>0.23</v>
      </c>
      <c r="AO24">
        <v>357.57</v>
      </c>
      <c r="AP24">
        <v>0</v>
      </c>
      <c r="AQ24">
        <v>29</v>
      </c>
      <c r="AR24">
        <v>0</v>
      </c>
      <c r="AS24">
        <v>0</v>
      </c>
      <c r="AT24">
        <v>120</v>
      </c>
      <c r="AU24">
        <v>67</v>
      </c>
      <c r="AV24">
        <v>1.047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17</v>
      </c>
      <c r="BM24">
        <v>336</v>
      </c>
      <c r="BN24">
        <v>0</v>
      </c>
      <c r="BO24" t="s">
        <v>14</v>
      </c>
      <c r="BP24">
        <v>1</v>
      </c>
      <c r="BQ24">
        <v>40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120</v>
      </c>
      <c r="CA24">
        <v>67</v>
      </c>
      <c r="CF24">
        <v>0</v>
      </c>
      <c r="CG24">
        <v>0</v>
      </c>
      <c r="CM24">
        <v>0</v>
      </c>
      <c r="CO24">
        <v>0</v>
      </c>
      <c r="CP24">
        <f aca="true" t="shared" si="30" ref="CP24:CP32">(P24+Q24+S24)</f>
        <v>444.97</v>
      </c>
      <c r="CQ24">
        <f aca="true" t="shared" si="31" ref="CQ24:CQ32">((AC24*AW24))*BC24</f>
        <v>68.18</v>
      </c>
      <c r="CR24">
        <f aca="true" t="shared" si="32" ref="CR24:CR32">((AD24*AV24))*BB24</f>
        <v>2.4080999999999997</v>
      </c>
      <c r="CS24">
        <f aca="true" t="shared" si="33" ref="CS24:CS32">((AE24*AV24))*BS24</f>
        <v>0.24081</v>
      </c>
      <c r="CT24">
        <f aca="true" t="shared" si="34" ref="CT24:CT32">((AF24*AV24))*BA24</f>
        <v>374.37579</v>
      </c>
      <c r="CU24">
        <f aca="true" t="shared" si="35" ref="CU24:CU32">AG24</f>
        <v>0</v>
      </c>
      <c r="CV24">
        <f aca="true" t="shared" si="36" ref="CV24:CV32">(AH24*AV24)</f>
        <v>30.363</v>
      </c>
      <c r="CW24">
        <f aca="true" t="shared" si="37" ref="CW24:CW32">AI24</f>
        <v>0</v>
      </c>
      <c r="CX24">
        <f aca="true" t="shared" si="38" ref="CX24:CX32">AJ24</f>
        <v>0</v>
      </c>
      <c r="CY24">
        <f aca="true" t="shared" si="39" ref="CY24:CY32">S24*(BZ24/100)</f>
        <v>449.256</v>
      </c>
      <c r="CZ24">
        <f aca="true" t="shared" si="40" ref="CZ24:CZ32">S24*(CA24/100)</f>
        <v>250.83460000000002</v>
      </c>
      <c r="DN24">
        <v>112</v>
      </c>
      <c r="DO24">
        <v>70</v>
      </c>
      <c r="DP24">
        <v>1.047</v>
      </c>
      <c r="DQ24">
        <v>1</v>
      </c>
      <c r="DU24">
        <v>1003</v>
      </c>
      <c r="DV24" t="s">
        <v>16</v>
      </c>
      <c r="DW24" t="s">
        <v>16</v>
      </c>
      <c r="DX24">
        <v>100</v>
      </c>
      <c r="EE24">
        <v>22533470</v>
      </c>
      <c r="EF24">
        <v>40</v>
      </c>
      <c r="EG24" t="s">
        <v>18</v>
      </c>
      <c r="EH24">
        <v>0</v>
      </c>
      <c r="EJ24">
        <v>2</v>
      </c>
      <c r="EK24">
        <v>336</v>
      </c>
      <c r="EL24" t="s">
        <v>19</v>
      </c>
      <c r="EM24" t="s">
        <v>20</v>
      </c>
      <c r="EQ24">
        <v>0</v>
      </c>
      <c r="ER24">
        <v>428.05</v>
      </c>
      <c r="ES24">
        <v>68.18</v>
      </c>
      <c r="ET24">
        <v>2.3</v>
      </c>
      <c r="EU24">
        <v>0.23</v>
      </c>
      <c r="EV24">
        <v>357.57</v>
      </c>
      <c r="EW24">
        <v>29</v>
      </c>
      <c r="EX24">
        <v>0</v>
      </c>
      <c r="EY24">
        <v>0</v>
      </c>
      <c r="EZ24">
        <v>0</v>
      </c>
      <c r="FQ24">
        <v>0</v>
      </c>
      <c r="FR24">
        <f aca="true" t="shared" si="41" ref="FR24:FR32">ROUND(IF(AND(BH24=3,BI24=3),P24,0),2)</f>
        <v>0</v>
      </c>
      <c r="FS24">
        <v>0</v>
      </c>
      <c r="FX24">
        <v>120</v>
      </c>
      <c r="FY24">
        <v>67</v>
      </c>
      <c r="GG24">
        <v>2</v>
      </c>
      <c r="GH24">
        <v>0</v>
      </c>
      <c r="GI24">
        <v>0</v>
      </c>
      <c r="GJ24">
        <v>0</v>
      </c>
      <c r="GK24">
        <f>ROUND(R24*(R12)/100,2)</f>
        <v>0.43</v>
      </c>
      <c r="GL24">
        <f aca="true" t="shared" si="42" ref="GL24:GL32">ROUND(IF(AND(BH24=3,BI24=3,FS24&lt;&gt;0),P24,0),2)</f>
        <v>0</v>
      </c>
      <c r="GM24">
        <f aca="true" t="shared" si="43" ref="GM24:GM32">O24+X24+Y24+GK24</f>
        <v>1145.49</v>
      </c>
      <c r="GN24">
        <f aca="true" t="shared" si="44" ref="GN24:GN32">ROUND(IF(OR(BI24=0,BI24=1),O24+X24+Y24+GK24,0),2)</f>
        <v>0</v>
      </c>
      <c r="GO24">
        <f aca="true" t="shared" si="45" ref="GO24:GO32">ROUND(IF(BI24=2,O24+X24+Y24+GK24,0),2)</f>
        <v>1145.49</v>
      </c>
      <c r="GP24">
        <f aca="true" t="shared" si="46" ref="GP24:GP32">ROUND(IF(BI24=4,O24+X24+Y24+GK24,0),2)</f>
        <v>0</v>
      </c>
      <c r="GR24">
        <v>0</v>
      </c>
    </row>
    <row r="25" spans="1:200" ht="12.75">
      <c r="A25">
        <v>17</v>
      </c>
      <c r="B25">
        <v>1</v>
      </c>
      <c r="E25" t="s">
        <v>21</v>
      </c>
      <c r="F25" t="s">
        <v>22</v>
      </c>
      <c r="G25" t="s">
        <v>23</v>
      </c>
      <c r="H25" t="s">
        <v>24</v>
      </c>
      <c r="I25">
        <v>1</v>
      </c>
      <c r="J25">
        <v>0</v>
      </c>
      <c r="O25">
        <f t="shared" si="10"/>
        <v>152.16</v>
      </c>
      <c r="P25">
        <f t="shared" si="11"/>
        <v>4.69</v>
      </c>
      <c r="Q25">
        <f t="shared" si="12"/>
        <v>0.05</v>
      </c>
      <c r="R25">
        <f t="shared" si="13"/>
        <v>0.01</v>
      </c>
      <c r="S25">
        <f t="shared" si="14"/>
        <v>147.42</v>
      </c>
      <c r="T25">
        <f t="shared" si="15"/>
        <v>0</v>
      </c>
      <c r="U25">
        <f t="shared" si="16"/>
        <v>11.517</v>
      </c>
      <c r="V25">
        <f t="shared" si="17"/>
        <v>0</v>
      </c>
      <c r="W25">
        <f t="shared" si="18"/>
        <v>0</v>
      </c>
      <c r="X25">
        <f t="shared" si="19"/>
        <v>176.9</v>
      </c>
      <c r="Y25">
        <f t="shared" si="20"/>
        <v>98.77</v>
      </c>
      <c r="AA25">
        <v>22534332</v>
      </c>
      <c r="AB25">
        <f t="shared" si="21"/>
        <v>145.54000000000002</v>
      </c>
      <c r="AC25">
        <f t="shared" si="22"/>
        <v>4.69</v>
      </c>
      <c r="AD25">
        <f t="shared" si="23"/>
        <v>0.05</v>
      </c>
      <c r="AE25">
        <f t="shared" si="24"/>
        <v>0.01</v>
      </c>
      <c r="AF25">
        <f t="shared" si="25"/>
        <v>140.8</v>
      </c>
      <c r="AG25">
        <f t="shared" si="26"/>
        <v>0</v>
      </c>
      <c r="AH25">
        <f t="shared" si="27"/>
        <v>11</v>
      </c>
      <c r="AI25">
        <f t="shared" si="28"/>
        <v>0</v>
      </c>
      <c r="AJ25">
        <f t="shared" si="29"/>
        <v>0</v>
      </c>
      <c r="AK25">
        <v>145.54000000000002</v>
      </c>
      <c r="AL25">
        <v>4.69</v>
      </c>
      <c r="AM25">
        <v>0.05</v>
      </c>
      <c r="AN25">
        <v>0.01</v>
      </c>
      <c r="AO25">
        <v>140.8</v>
      </c>
      <c r="AP25">
        <v>0</v>
      </c>
      <c r="AQ25">
        <v>11</v>
      </c>
      <c r="AR25">
        <v>0</v>
      </c>
      <c r="AS25">
        <v>0</v>
      </c>
      <c r="AT25">
        <v>120</v>
      </c>
      <c r="AU25">
        <v>67</v>
      </c>
      <c r="AV25">
        <v>1.047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25</v>
      </c>
      <c r="BM25">
        <v>336</v>
      </c>
      <c r="BN25">
        <v>0</v>
      </c>
      <c r="BO25" t="s">
        <v>22</v>
      </c>
      <c r="BP25">
        <v>1</v>
      </c>
      <c r="BQ25">
        <v>40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120</v>
      </c>
      <c r="CA25">
        <v>67</v>
      </c>
      <c r="CF25">
        <v>0</v>
      </c>
      <c r="CG25">
        <v>0</v>
      </c>
      <c r="CM25">
        <v>0</v>
      </c>
      <c r="CO25">
        <v>0</v>
      </c>
      <c r="CP25">
        <f t="shared" si="30"/>
        <v>152.16</v>
      </c>
      <c r="CQ25">
        <f t="shared" si="31"/>
        <v>4.69</v>
      </c>
      <c r="CR25">
        <f t="shared" si="32"/>
        <v>0.05235</v>
      </c>
      <c r="CS25">
        <f t="shared" si="33"/>
        <v>0.01047</v>
      </c>
      <c r="CT25">
        <f t="shared" si="34"/>
        <v>147.4176</v>
      </c>
      <c r="CU25">
        <f t="shared" si="35"/>
        <v>0</v>
      </c>
      <c r="CV25">
        <f t="shared" si="36"/>
        <v>11.517</v>
      </c>
      <c r="CW25">
        <f t="shared" si="37"/>
        <v>0</v>
      </c>
      <c r="CX25">
        <f t="shared" si="38"/>
        <v>0</v>
      </c>
      <c r="CY25">
        <f t="shared" si="39"/>
        <v>176.90399999999997</v>
      </c>
      <c r="CZ25">
        <f t="shared" si="40"/>
        <v>98.7714</v>
      </c>
      <c r="DN25">
        <v>112</v>
      </c>
      <c r="DO25">
        <v>70</v>
      </c>
      <c r="DP25">
        <v>1.047</v>
      </c>
      <c r="DQ25">
        <v>1</v>
      </c>
      <c r="DU25">
        <v>1010</v>
      </c>
      <c r="DV25" t="s">
        <v>24</v>
      </c>
      <c r="DW25" t="s">
        <v>24</v>
      </c>
      <c r="DX25">
        <v>1</v>
      </c>
      <c r="EE25">
        <v>22533470</v>
      </c>
      <c r="EF25">
        <v>40</v>
      </c>
      <c r="EG25" t="s">
        <v>18</v>
      </c>
      <c r="EH25">
        <v>0</v>
      </c>
      <c r="EJ25">
        <v>2</v>
      </c>
      <c r="EK25">
        <v>336</v>
      </c>
      <c r="EL25" t="s">
        <v>19</v>
      </c>
      <c r="EM25" t="s">
        <v>20</v>
      </c>
      <c r="EQ25">
        <v>0</v>
      </c>
      <c r="ER25">
        <v>145.54000000000002</v>
      </c>
      <c r="ES25">
        <v>4.69</v>
      </c>
      <c r="ET25">
        <v>0.05</v>
      </c>
      <c r="EU25">
        <v>0.01</v>
      </c>
      <c r="EV25">
        <v>140.8</v>
      </c>
      <c r="EW25">
        <v>11</v>
      </c>
      <c r="EX25">
        <v>0</v>
      </c>
      <c r="EY25">
        <v>0</v>
      </c>
      <c r="EZ25">
        <v>0</v>
      </c>
      <c r="FQ25">
        <v>0</v>
      </c>
      <c r="FR25">
        <f t="shared" si="41"/>
        <v>0</v>
      </c>
      <c r="FS25">
        <v>0</v>
      </c>
      <c r="FX25">
        <v>120</v>
      </c>
      <c r="FY25">
        <v>67</v>
      </c>
      <c r="GG25">
        <v>2</v>
      </c>
      <c r="GH25">
        <v>0</v>
      </c>
      <c r="GI25">
        <v>0</v>
      </c>
      <c r="GJ25">
        <v>0</v>
      </c>
      <c r="GK25">
        <f>ROUND(R25*(R12)/100,2)</f>
        <v>0.02</v>
      </c>
      <c r="GL25">
        <f t="shared" si="42"/>
        <v>0</v>
      </c>
      <c r="GM25">
        <f t="shared" si="43"/>
        <v>427.84999999999997</v>
      </c>
      <c r="GN25">
        <f t="shared" si="44"/>
        <v>0</v>
      </c>
      <c r="GO25">
        <f t="shared" si="45"/>
        <v>427.85</v>
      </c>
      <c r="GP25">
        <f t="shared" si="46"/>
        <v>0</v>
      </c>
      <c r="GR25">
        <v>0</v>
      </c>
    </row>
    <row r="26" spans="1:200" ht="12.75">
      <c r="A26">
        <v>17</v>
      </c>
      <c r="B26">
        <v>1</v>
      </c>
      <c r="E26" t="s">
        <v>26</v>
      </c>
      <c r="F26" t="s">
        <v>27</v>
      </c>
      <c r="G26" t="s">
        <v>28</v>
      </c>
      <c r="H26" t="s">
        <v>24</v>
      </c>
      <c r="I26">
        <v>1</v>
      </c>
      <c r="J26">
        <v>0</v>
      </c>
      <c r="O26">
        <f t="shared" si="10"/>
        <v>559.99</v>
      </c>
      <c r="P26">
        <f t="shared" si="11"/>
        <v>20.93</v>
      </c>
      <c r="Q26">
        <f t="shared" si="12"/>
        <v>0.06</v>
      </c>
      <c r="R26">
        <f t="shared" si="13"/>
        <v>0.01</v>
      </c>
      <c r="S26">
        <f t="shared" si="14"/>
        <v>539</v>
      </c>
      <c r="T26">
        <f t="shared" si="15"/>
        <v>0</v>
      </c>
      <c r="U26">
        <f t="shared" si="16"/>
        <v>40.833</v>
      </c>
      <c r="V26">
        <f t="shared" si="17"/>
        <v>0</v>
      </c>
      <c r="W26">
        <f t="shared" si="18"/>
        <v>0</v>
      </c>
      <c r="X26">
        <f t="shared" si="19"/>
        <v>646.8</v>
      </c>
      <c r="Y26">
        <f t="shared" si="20"/>
        <v>361.13</v>
      </c>
      <c r="AA26">
        <v>22534332</v>
      </c>
      <c r="AB26">
        <f t="shared" si="21"/>
        <v>535.79</v>
      </c>
      <c r="AC26">
        <f t="shared" si="22"/>
        <v>20.93</v>
      </c>
      <c r="AD26">
        <f t="shared" si="23"/>
        <v>0.06</v>
      </c>
      <c r="AE26">
        <f t="shared" si="24"/>
        <v>0.01</v>
      </c>
      <c r="AF26">
        <f t="shared" si="25"/>
        <v>514.8</v>
      </c>
      <c r="AG26">
        <f t="shared" si="26"/>
        <v>0</v>
      </c>
      <c r="AH26">
        <f t="shared" si="27"/>
        <v>39</v>
      </c>
      <c r="AI26">
        <f t="shared" si="28"/>
        <v>0</v>
      </c>
      <c r="AJ26">
        <f t="shared" si="29"/>
        <v>0</v>
      </c>
      <c r="AK26">
        <v>535.79</v>
      </c>
      <c r="AL26">
        <v>20.93</v>
      </c>
      <c r="AM26">
        <v>0.06</v>
      </c>
      <c r="AN26">
        <v>0.01</v>
      </c>
      <c r="AO26">
        <v>514.8</v>
      </c>
      <c r="AP26">
        <v>0</v>
      </c>
      <c r="AQ26">
        <v>39</v>
      </c>
      <c r="AR26">
        <v>0</v>
      </c>
      <c r="AS26">
        <v>0</v>
      </c>
      <c r="AT26">
        <v>120</v>
      </c>
      <c r="AU26">
        <v>67</v>
      </c>
      <c r="AV26">
        <v>1.047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29</v>
      </c>
      <c r="BM26">
        <v>336</v>
      </c>
      <c r="BN26">
        <v>0</v>
      </c>
      <c r="BO26" t="s">
        <v>27</v>
      </c>
      <c r="BP26">
        <v>1</v>
      </c>
      <c r="BQ26">
        <v>40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120</v>
      </c>
      <c r="CA26">
        <v>67</v>
      </c>
      <c r="CF26">
        <v>0</v>
      </c>
      <c r="CG26">
        <v>0</v>
      </c>
      <c r="CM26">
        <v>0</v>
      </c>
      <c r="CO26">
        <v>0</v>
      </c>
      <c r="CP26">
        <f t="shared" si="30"/>
        <v>559.99</v>
      </c>
      <c r="CQ26">
        <f t="shared" si="31"/>
        <v>20.93</v>
      </c>
      <c r="CR26">
        <f t="shared" si="32"/>
        <v>0.06281999999999999</v>
      </c>
      <c r="CS26">
        <f t="shared" si="33"/>
        <v>0.01047</v>
      </c>
      <c r="CT26">
        <f t="shared" si="34"/>
        <v>538.9956</v>
      </c>
      <c r="CU26">
        <f t="shared" si="35"/>
        <v>0</v>
      </c>
      <c r="CV26">
        <f t="shared" si="36"/>
        <v>40.833</v>
      </c>
      <c r="CW26">
        <f t="shared" si="37"/>
        <v>0</v>
      </c>
      <c r="CX26">
        <f t="shared" si="38"/>
        <v>0</v>
      </c>
      <c r="CY26">
        <f t="shared" si="39"/>
        <v>646.8</v>
      </c>
      <c r="CZ26">
        <f t="shared" si="40"/>
        <v>361.13</v>
      </c>
      <c r="DN26">
        <v>112</v>
      </c>
      <c r="DO26">
        <v>70</v>
      </c>
      <c r="DP26">
        <v>1.047</v>
      </c>
      <c r="DQ26">
        <v>1</v>
      </c>
      <c r="DU26">
        <v>1010</v>
      </c>
      <c r="DV26" t="s">
        <v>24</v>
      </c>
      <c r="DW26" t="s">
        <v>24</v>
      </c>
      <c r="DX26">
        <v>1</v>
      </c>
      <c r="EE26">
        <v>22533470</v>
      </c>
      <c r="EF26">
        <v>40</v>
      </c>
      <c r="EG26" t="s">
        <v>18</v>
      </c>
      <c r="EH26">
        <v>0</v>
      </c>
      <c r="EJ26">
        <v>2</v>
      </c>
      <c r="EK26">
        <v>336</v>
      </c>
      <c r="EL26" t="s">
        <v>19</v>
      </c>
      <c r="EM26" t="s">
        <v>20</v>
      </c>
      <c r="EQ26">
        <v>0</v>
      </c>
      <c r="ER26">
        <v>535.79</v>
      </c>
      <c r="ES26">
        <v>20.93</v>
      </c>
      <c r="ET26">
        <v>0.06</v>
      </c>
      <c r="EU26">
        <v>0.01</v>
      </c>
      <c r="EV26">
        <v>514.8</v>
      </c>
      <c r="EW26">
        <v>39</v>
      </c>
      <c r="EX26">
        <v>0</v>
      </c>
      <c r="EY26">
        <v>0</v>
      </c>
      <c r="EZ26">
        <v>0</v>
      </c>
      <c r="FQ26">
        <v>0</v>
      </c>
      <c r="FR26">
        <f t="shared" si="41"/>
        <v>0</v>
      </c>
      <c r="FS26">
        <v>0</v>
      </c>
      <c r="FX26">
        <v>120</v>
      </c>
      <c r="FY26">
        <v>67</v>
      </c>
      <c r="GG26">
        <v>2</v>
      </c>
      <c r="GH26">
        <v>0</v>
      </c>
      <c r="GI26">
        <v>0</v>
      </c>
      <c r="GJ26">
        <v>0</v>
      </c>
      <c r="GK26">
        <f>ROUND(R26*(R12)/100,2)</f>
        <v>0.02</v>
      </c>
      <c r="GL26">
        <f t="shared" si="42"/>
        <v>0</v>
      </c>
      <c r="GM26">
        <f t="shared" si="43"/>
        <v>1567.94</v>
      </c>
      <c r="GN26">
        <f t="shared" si="44"/>
        <v>0</v>
      </c>
      <c r="GO26">
        <f t="shared" si="45"/>
        <v>1567.94</v>
      </c>
      <c r="GP26">
        <f t="shared" si="46"/>
        <v>0</v>
      </c>
      <c r="GR26">
        <v>0</v>
      </c>
    </row>
    <row r="27" spans="1:200" ht="12.75">
      <c r="A27">
        <v>17</v>
      </c>
      <c r="B27">
        <v>1</v>
      </c>
      <c r="E27" t="s">
        <v>30</v>
      </c>
      <c r="F27" t="s">
        <v>31</v>
      </c>
      <c r="G27" t="s">
        <v>32</v>
      </c>
      <c r="H27" t="s">
        <v>24</v>
      </c>
      <c r="I27">
        <v>1</v>
      </c>
      <c r="J27">
        <v>0</v>
      </c>
      <c r="O27">
        <f t="shared" si="10"/>
        <v>33.66</v>
      </c>
      <c r="P27">
        <f t="shared" si="11"/>
        <v>1.12</v>
      </c>
      <c r="Q27">
        <f t="shared" si="12"/>
        <v>0.08</v>
      </c>
      <c r="R27">
        <f t="shared" si="13"/>
        <v>0.01</v>
      </c>
      <c r="S27">
        <f t="shared" si="14"/>
        <v>32.46</v>
      </c>
      <c r="T27">
        <f t="shared" si="15"/>
        <v>0</v>
      </c>
      <c r="U27">
        <f t="shared" si="16"/>
        <v>2.094</v>
      </c>
      <c r="V27">
        <f t="shared" si="17"/>
        <v>0</v>
      </c>
      <c r="W27">
        <f t="shared" si="18"/>
        <v>0</v>
      </c>
      <c r="X27">
        <f t="shared" si="19"/>
        <v>38.95</v>
      </c>
      <c r="Y27">
        <f t="shared" si="20"/>
        <v>21.75</v>
      </c>
      <c r="AA27">
        <v>22534332</v>
      </c>
      <c r="AB27">
        <f t="shared" si="21"/>
        <v>32.2</v>
      </c>
      <c r="AC27">
        <f t="shared" si="22"/>
        <v>1.12</v>
      </c>
      <c r="AD27">
        <f t="shared" si="23"/>
        <v>0.08</v>
      </c>
      <c r="AE27">
        <f t="shared" si="24"/>
        <v>0.01</v>
      </c>
      <c r="AF27">
        <f t="shared" si="25"/>
        <v>31</v>
      </c>
      <c r="AG27">
        <f t="shared" si="26"/>
        <v>0</v>
      </c>
      <c r="AH27">
        <f t="shared" si="27"/>
        <v>2</v>
      </c>
      <c r="AI27">
        <f t="shared" si="28"/>
        <v>0</v>
      </c>
      <c r="AJ27">
        <f t="shared" si="29"/>
        <v>0</v>
      </c>
      <c r="AK27">
        <v>32.2</v>
      </c>
      <c r="AL27">
        <v>1.12</v>
      </c>
      <c r="AM27">
        <v>0.08</v>
      </c>
      <c r="AN27">
        <v>0.01</v>
      </c>
      <c r="AO27">
        <v>31</v>
      </c>
      <c r="AP27">
        <v>0</v>
      </c>
      <c r="AQ27">
        <v>2</v>
      </c>
      <c r="AR27">
        <v>0</v>
      </c>
      <c r="AS27">
        <v>0</v>
      </c>
      <c r="AT27">
        <v>120</v>
      </c>
      <c r="AU27">
        <v>67</v>
      </c>
      <c r="AV27">
        <v>1.047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33</v>
      </c>
      <c r="BM27">
        <v>336</v>
      </c>
      <c r="BN27">
        <v>0</v>
      </c>
      <c r="BO27" t="s">
        <v>31</v>
      </c>
      <c r="BP27">
        <v>1</v>
      </c>
      <c r="BQ27">
        <v>40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120</v>
      </c>
      <c r="CA27">
        <v>67</v>
      </c>
      <c r="CF27">
        <v>0</v>
      </c>
      <c r="CG27">
        <v>0</v>
      </c>
      <c r="CM27">
        <v>0</v>
      </c>
      <c r="CO27">
        <v>0</v>
      </c>
      <c r="CP27">
        <f t="shared" si="30"/>
        <v>33.660000000000004</v>
      </c>
      <c r="CQ27">
        <f t="shared" si="31"/>
        <v>1.12</v>
      </c>
      <c r="CR27">
        <f t="shared" si="32"/>
        <v>0.08376</v>
      </c>
      <c r="CS27">
        <f t="shared" si="33"/>
        <v>0.01047</v>
      </c>
      <c r="CT27">
        <f t="shared" si="34"/>
        <v>32.457</v>
      </c>
      <c r="CU27">
        <f t="shared" si="35"/>
        <v>0</v>
      </c>
      <c r="CV27">
        <f t="shared" si="36"/>
        <v>2.094</v>
      </c>
      <c r="CW27">
        <f t="shared" si="37"/>
        <v>0</v>
      </c>
      <c r="CX27">
        <f t="shared" si="38"/>
        <v>0</v>
      </c>
      <c r="CY27">
        <f t="shared" si="39"/>
        <v>38.952</v>
      </c>
      <c r="CZ27">
        <f t="shared" si="40"/>
        <v>21.7482</v>
      </c>
      <c r="DN27">
        <v>112</v>
      </c>
      <c r="DO27">
        <v>70</v>
      </c>
      <c r="DP27">
        <v>1.047</v>
      </c>
      <c r="DQ27">
        <v>1</v>
      </c>
      <c r="DU27">
        <v>1010</v>
      </c>
      <c r="DV27" t="s">
        <v>24</v>
      </c>
      <c r="DW27" t="s">
        <v>24</v>
      </c>
      <c r="DX27">
        <v>1</v>
      </c>
      <c r="EE27">
        <v>22533470</v>
      </c>
      <c r="EF27">
        <v>40</v>
      </c>
      <c r="EG27" t="s">
        <v>18</v>
      </c>
      <c r="EH27">
        <v>0</v>
      </c>
      <c r="EJ27">
        <v>2</v>
      </c>
      <c r="EK27">
        <v>336</v>
      </c>
      <c r="EL27" t="s">
        <v>19</v>
      </c>
      <c r="EM27" t="s">
        <v>20</v>
      </c>
      <c r="EQ27">
        <v>0</v>
      </c>
      <c r="ER27">
        <v>32.2</v>
      </c>
      <c r="ES27">
        <v>1.12</v>
      </c>
      <c r="ET27">
        <v>0.08</v>
      </c>
      <c r="EU27">
        <v>0.01</v>
      </c>
      <c r="EV27">
        <v>31</v>
      </c>
      <c r="EW27">
        <v>2</v>
      </c>
      <c r="EX27">
        <v>0</v>
      </c>
      <c r="EY27">
        <v>0</v>
      </c>
      <c r="EZ27">
        <v>0</v>
      </c>
      <c r="FQ27">
        <v>0</v>
      </c>
      <c r="FR27">
        <f t="shared" si="41"/>
        <v>0</v>
      </c>
      <c r="FS27">
        <v>0</v>
      </c>
      <c r="FX27">
        <v>120</v>
      </c>
      <c r="FY27">
        <v>67</v>
      </c>
      <c r="GG27">
        <v>2</v>
      </c>
      <c r="GH27">
        <v>0</v>
      </c>
      <c r="GI27">
        <v>0</v>
      </c>
      <c r="GJ27">
        <v>0</v>
      </c>
      <c r="GK27">
        <f>ROUND(R27*(R12)/100,2)</f>
        <v>0.02</v>
      </c>
      <c r="GL27">
        <f t="shared" si="42"/>
        <v>0</v>
      </c>
      <c r="GM27">
        <f t="shared" si="43"/>
        <v>94.38</v>
      </c>
      <c r="GN27">
        <f t="shared" si="44"/>
        <v>0</v>
      </c>
      <c r="GO27">
        <f t="shared" si="45"/>
        <v>94.38</v>
      </c>
      <c r="GP27">
        <f t="shared" si="46"/>
        <v>0</v>
      </c>
      <c r="GR27">
        <v>0</v>
      </c>
    </row>
    <row r="28" spans="1:200" ht="12.75">
      <c r="A28">
        <v>17</v>
      </c>
      <c r="B28">
        <v>1</v>
      </c>
      <c r="E28" t="s">
        <v>34</v>
      </c>
      <c r="F28" t="s">
        <v>35</v>
      </c>
      <c r="G28" t="s">
        <v>36</v>
      </c>
      <c r="H28" t="s">
        <v>37</v>
      </c>
      <c r="I28">
        <v>1</v>
      </c>
      <c r="J28">
        <v>0</v>
      </c>
      <c r="O28">
        <f t="shared" si="10"/>
        <v>26368.12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26368.12</v>
      </c>
      <c r="T28">
        <f t="shared" si="15"/>
        <v>0</v>
      </c>
      <c r="U28">
        <f t="shared" si="16"/>
        <v>1655</v>
      </c>
      <c r="V28">
        <f t="shared" si="17"/>
        <v>0</v>
      </c>
      <c r="W28">
        <f t="shared" si="18"/>
        <v>0</v>
      </c>
      <c r="X28">
        <f t="shared" si="19"/>
        <v>19512.41</v>
      </c>
      <c r="Y28">
        <f t="shared" si="20"/>
        <v>16084.55</v>
      </c>
      <c r="AA28">
        <v>22534332</v>
      </c>
      <c r="AB28">
        <f t="shared" si="21"/>
        <v>26368.12</v>
      </c>
      <c r="AC28">
        <f t="shared" si="22"/>
        <v>0</v>
      </c>
      <c r="AD28">
        <f t="shared" si="23"/>
        <v>0</v>
      </c>
      <c r="AE28">
        <f t="shared" si="24"/>
        <v>0</v>
      </c>
      <c r="AF28">
        <f t="shared" si="25"/>
        <v>26368.12</v>
      </c>
      <c r="AG28">
        <f t="shared" si="26"/>
        <v>0</v>
      </c>
      <c r="AH28">
        <f t="shared" si="27"/>
        <v>1655</v>
      </c>
      <c r="AI28">
        <f t="shared" si="28"/>
        <v>0</v>
      </c>
      <c r="AJ28">
        <f t="shared" si="29"/>
        <v>0</v>
      </c>
      <c r="AK28">
        <v>26368.12</v>
      </c>
      <c r="AL28">
        <v>0</v>
      </c>
      <c r="AM28">
        <v>0</v>
      </c>
      <c r="AN28">
        <v>0</v>
      </c>
      <c r="AO28">
        <v>26368.12</v>
      </c>
      <c r="AP28">
        <v>0</v>
      </c>
      <c r="AQ28">
        <v>1655</v>
      </c>
      <c r="AR28">
        <v>0</v>
      </c>
      <c r="AS28">
        <v>0</v>
      </c>
      <c r="AT28">
        <v>74</v>
      </c>
      <c r="AU28">
        <v>61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38</v>
      </c>
      <c r="BM28">
        <v>388</v>
      </c>
      <c r="BN28">
        <v>0</v>
      </c>
      <c r="BO28" t="s">
        <v>35</v>
      </c>
      <c r="BP28">
        <v>1</v>
      </c>
      <c r="BQ28">
        <v>50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74</v>
      </c>
      <c r="CA28">
        <v>61</v>
      </c>
      <c r="CF28">
        <v>0</v>
      </c>
      <c r="CG28">
        <v>0</v>
      </c>
      <c r="CM28">
        <v>0</v>
      </c>
      <c r="CO28">
        <v>0</v>
      </c>
      <c r="CP28">
        <f t="shared" si="30"/>
        <v>26368.12</v>
      </c>
      <c r="CQ28">
        <f t="shared" si="31"/>
        <v>0</v>
      </c>
      <c r="CR28">
        <f t="shared" si="32"/>
        <v>0</v>
      </c>
      <c r="CS28">
        <f t="shared" si="33"/>
        <v>0</v>
      </c>
      <c r="CT28">
        <f t="shared" si="34"/>
        <v>26368.12</v>
      </c>
      <c r="CU28">
        <f t="shared" si="35"/>
        <v>0</v>
      </c>
      <c r="CV28">
        <f t="shared" si="36"/>
        <v>1655</v>
      </c>
      <c r="CW28">
        <f t="shared" si="37"/>
        <v>0</v>
      </c>
      <c r="CX28">
        <f t="shared" si="38"/>
        <v>0</v>
      </c>
      <c r="CY28">
        <f t="shared" si="39"/>
        <v>19512.408799999997</v>
      </c>
      <c r="CZ28">
        <f t="shared" si="40"/>
        <v>16084.553199999998</v>
      </c>
      <c r="DN28">
        <v>75</v>
      </c>
      <c r="DO28">
        <v>70</v>
      </c>
      <c r="DP28">
        <v>1</v>
      </c>
      <c r="DQ28">
        <v>1</v>
      </c>
      <c r="DU28">
        <v>1013</v>
      </c>
      <c r="DV28" t="s">
        <v>37</v>
      </c>
      <c r="DW28" t="s">
        <v>37</v>
      </c>
      <c r="DX28">
        <v>1</v>
      </c>
      <c r="EE28">
        <v>22533522</v>
      </c>
      <c r="EF28">
        <v>50</v>
      </c>
      <c r="EG28" t="s">
        <v>39</v>
      </c>
      <c r="EH28">
        <v>0</v>
      </c>
      <c r="EJ28">
        <v>2</v>
      </c>
      <c r="EK28">
        <v>388</v>
      </c>
      <c r="EL28" t="s">
        <v>40</v>
      </c>
      <c r="EM28" t="s">
        <v>41</v>
      </c>
      <c r="EQ28">
        <v>0</v>
      </c>
      <c r="ER28">
        <v>26368.12</v>
      </c>
      <c r="ES28">
        <v>0</v>
      </c>
      <c r="ET28">
        <v>0</v>
      </c>
      <c r="EU28">
        <v>0</v>
      </c>
      <c r="EV28">
        <v>26368.12</v>
      </c>
      <c r="EW28">
        <v>1655</v>
      </c>
      <c r="EX28">
        <v>0</v>
      </c>
      <c r="EY28">
        <v>0</v>
      </c>
      <c r="EZ28">
        <v>0</v>
      </c>
      <c r="FQ28">
        <v>0</v>
      </c>
      <c r="FR28">
        <f t="shared" si="41"/>
        <v>0</v>
      </c>
      <c r="FS28">
        <v>0</v>
      </c>
      <c r="FX28">
        <v>74</v>
      </c>
      <c r="FY28">
        <v>61</v>
      </c>
      <c r="GG28">
        <v>2</v>
      </c>
      <c r="GH28">
        <v>0</v>
      </c>
      <c r="GI28">
        <v>0</v>
      </c>
      <c r="GJ28">
        <v>0</v>
      </c>
      <c r="GK28">
        <f>ROUND(R28*(R12)/100,2)</f>
        <v>0</v>
      </c>
      <c r="GL28">
        <f t="shared" si="42"/>
        <v>0</v>
      </c>
      <c r="GM28">
        <f t="shared" si="43"/>
        <v>61965.08</v>
      </c>
      <c r="GN28">
        <f t="shared" si="44"/>
        <v>0</v>
      </c>
      <c r="GO28">
        <f t="shared" si="45"/>
        <v>61965.08</v>
      </c>
      <c r="GP28">
        <f t="shared" si="46"/>
        <v>0</v>
      </c>
      <c r="GR28">
        <v>0</v>
      </c>
    </row>
    <row r="29" spans="1:200" ht="12.75">
      <c r="A29">
        <v>17</v>
      </c>
      <c r="B29">
        <v>1</v>
      </c>
      <c r="E29" t="s">
        <v>42</v>
      </c>
      <c r="F29" t="s">
        <v>43</v>
      </c>
      <c r="G29" t="s">
        <v>44</v>
      </c>
      <c r="H29" t="s">
        <v>45</v>
      </c>
      <c r="I29">
        <v>1</v>
      </c>
      <c r="J29">
        <v>0</v>
      </c>
      <c r="O29">
        <f t="shared" si="10"/>
        <v>19064.8</v>
      </c>
      <c r="P29">
        <f t="shared" si="11"/>
        <v>19064.8</v>
      </c>
      <c r="Q29">
        <f t="shared" si="12"/>
        <v>0</v>
      </c>
      <c r="R29">
        <f t="shared" si="13"/>
        <v>0</v>
      </c>
      <c r="S29">
        <f t="shared" si="14"/>
        <v>0</v>
      </c>
      <c r="T29">
        <f t="shared" si="15"/>
        <v>0</v>
      </c>
      <c r="U29">
        <f t="shared" si="16"/>
        <v>0</v>
      </c>
      <c r="V29">
        <f t="shared" si="17"/>
        <v>0</v>
      </c>
      <c r="W29">
        <f t="shared" si="18"/>
        <v>0</v>
      </c>
      <c r="X29">
        <f t="shared" si="19"/>
        <v>0</v>
      </c>
      <c r="Y29">
        <f t="shared" si="20"/>
        <v>0</v>
      </c>
      <c r="AA29">
        <v>22534332</v>
      </c>
      <c r="AB29">
        <f t="shared" si="21"/>
        <v>19064.8</v>
      </c>
      <c r="AC29">
        <f t="shared" si="22"/>
        <v>19064.8</v>
      </c>
      <c r="AD29">
        <f t="shared" si="23"/>
        <v>0</v>
      </c>
      <c r="AE29">
        <f t="shared" si="24"/>
        <v>0</v>
      </c>
      <c r="AF29">
        <f t="shared" si="25"/>
        <v>0</v>
      </c>
      <c r="AG29">
        <f t="shared" si="26"/>
        <v>0</v>
      </c>
      <c r="AH29">
        <f t="shared" si="27"/>
        <v>0</v>
      </c>
      <c r="AI29">
        <f t="shared" si="28"/>
        <v>0</v>
      </c>
      <c r="AJ29">
        <f t="shared" si="29"/>
        <v>0</v>
      </c>
      <c r="AK29">
        <v>19064.8</v>
      </c>
      <c r="AL29">
        <v>19064.8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1.047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4</v>
      </c>
      <c r="BJ29" t="s">
        <v>46</v>
      </c>
      <c r="BM29">
        <v>0</v>
      </c>
      <c r="BN29">
        <v>0</v>
      </c>
      <c r="BP29">
        <v>0</v>
      </c>
      <c r="BQ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30"/>
        <v>19064.8</v>
      </c>
      <c r="CQ29">
        <f t="shared" si="31"/>
        <v>19064.8</v>
      </c>
      <c r="CR29">
        <f t="shared" si="32"/>
        <v>0</v>
      </c>
      <c r="CS29">
        <f t="shared" si="33"/>
        <v>0</v>
      </c>
      <c r="CT29">
        <f t="shared" si="34"/>
        <v>0</v>
      </c>
      <c r="CU29">
        <f t="shared" si="35"/>
        <v>0</v>
      </c>
      <c r="CV29">
        <f t="shared" si="36"/>
        <v>0</v>
      </c>
      <c r="CW29">
        <f t="shared" si="37"/>
        <v>0</v>
      </c>
      <c r="CX29">
        <f t="shared" si="38"/>
        <v>0</v>
      </c>
      <c r="CY29">
        <f t="shared" si="39"/>
        <v>0</v>
      </c>
      <c r="CZ29">
        <f t="shared" si="40"/>
        <v>0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45</v>
      </c>
      <c r="DW29" t="s">
        <v>45</v>
      </c>
      <c r="DX29">
        <v>1000</v>
      </c>
      <c r="EE29">
        <v>22533134</v>
      </c>
      <c r="EF29">
        <v>0</v>
      </c>
      <c r="EH29">
        <v>0</v>
      </c>
      <c r="EJ29">
        <v>4</v>
      </c>
      <c r="EK29">
        <v>0</v>
      </c>
      <c r="EL29" t="s">
        <v>47</v>
      </c>
      <c r="EM29" t="s">
        <v>48</v>
      </c>
      <c r="EQ29">
        <v>0</v>
      </c>
      <c r="ER29">
        <v>19064.8</v>
      </c>
      <c r="ES29">
        <v>19064.8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Q29">
        <v>0</v>
      </c>
      <c r="FR29">
        <f t="shared" si="41"/>
        <v>0</v>
      </c>
      <c r="FS29">
        <v>0</v>
      </c>
      <c r="FX29">
        <v>0</v>
      </c>
      <c r="FY29">
        <v>0</v>
      </c>
      <c r="GG29">
        <v>2</v>
      </c>
      <c r="GH29">
        <v>0</v>
      </c>
      <c r="GI29">
        <v>0</v>
      </c>
      <c r="GJ29">
        <v>0</v>
      </c>
      <c r="GK29">
        <f>ROUND(R29*(R12)/100,2)</f>
        <v>0</v>
      </c>
      <c r="GL29">
        <f t="shared" si="42"/>
        <v>0</v>
      </c>
      <c r="GM29">
        <f t="shared" si="43"/>
        <v>19064.8</v>
      </c>
      <c r="GN29">
        <f t="shared" si="44"/>
        <v>0</v>
      </c>
      <c r="GO29">
        <f t="shared" si="45"/>
        <v>0</v>
      </c>
      <c r="GP29">
        <f t="shared" si="46"/>
        <v>19064.8</v>
      </c>
      <c r="GR29">
        <v>0</v>
      </c>
    </row>
    <row r="30" spans="1:200" ht="12.75">
      <c r="A30">
        <v>17</v>
      </c>
      <c r="B30">
        <v>1</v>
      </c>
      <c r="E30" t="s">
        <v>49</v>
      </c>
      <c r="F30" t="s">
        <v>50</v>
      </c>
      <c r="G30" t="s">
        <v>51</v>
      </c>
      <c r="H30" t="s">
        <v>24</v>
      </c>
      <c r="I30">
        <v>1</v>
      </c>
      <c r="J30">
        <v>0</v>
      </c>
      <c r="O30">
        <f t="shared" si="10"/>
        <v>356.15</v>
      </c>
      <c r="P30">
        <f t="shared" si="11"/>
        <v>356.15</v>
      </c>
      <c r="Q30">
        <f t="shared" si="12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>
        <f t="shared" si="16"/>
        <v>0</v>
      </c>
      <c r="V30">
        <f t="shared" si="17"/>
        <v>0</v>
      </c>
      <c r="W30">
        <f t="shared" si="18"/>
        <v>0</v>
      </c>
      <c r="X30">
        <f t="shared" si="19"/>
        <v>0</v>
      </c>
      <c r="Y30">
        <f t="shared" si="20"/>
        <v>0</v>
      </c>
      <c r="AA30">
        <v>22534332</v>
      </c>
      <c r="AB30">
        <f t="shared" si="21"/>
        <v>356.15</v>
      </c>
      <c r="AC30">
        <f t="shared" si="22"/>
        <v>356.15</v>
      </c>
      <c r="AD30">
        <f t="shared" si="23"/>
        <v>0</v>
      </c>
      <c r="AE30">
        <f t="shared" si="24"/>
        <v>0</v>
      </c>
      <c r="AF30">
        <f t="shared" si="25"/>
        <v>0</v>
      </c>
      <c r="AG30">
        <f t="shared" si="26"/>
        <v>0</v>
      </c>
      <c r="AH30">
        <f t="shared" si="27"/>
        <v>0</v>
      </c>
      <c r="AI30">
        <f t="shared" si="28"/>
        <v>0</v>
      </c>
      <c r="AJ30">
        <f t="shared" si="29"/>
        <v>0</v>
      </c>
      <c r="AK30">
        <v>356.15</v>
      </c>
      <c r="AL30">
        <v>356.15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1.047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4</v>
      </c>
      <c r="BJ30" t="s">
        <v>52</v>
      </c>
      <c r="BM30">
        <v>0</v>
      </c>
      <c r="BN30">
        <v>0</v>
      </c>
      <c r="BP30">
        <v>0</v>
      </c>
      <c r="BQ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30"/>
        <v>356.15</v>
      </c>
      <c r="CQ30">
        <f t="shared" si="31"/>
        <v>356.15</v>
      </c>
      <c r="CR30">
        <f t="shared" si="32"/>
        <v>0</v>
      </c>
      <c r="CS30">
        <f t="shared" si="33"/>
        <v>0</v>
      </c>
      <c r="CT30">
        <f t="shared" si="34"/>
        <v>0</v>
      </c>
      <c r="CU30">
        <f t="shared" si="35"/>
        <v>0</v>
      </c>
      <c r="CV30">
        <f t="shared" si="36"/>
        <v>0</v>
      </c>
      <c r="CW30">
        <f t="shared" si="37"/>
        <v>0</v>
      </c>
      <c r="CX30">
        <f t="shared" si="38"/>
        <v>0</v>
      </c>
      <c r="CY30">
        <f t="shared" si="39"/>
        <v>0</v>
      </c>
      <c r="CZ30">
        <f t="shared" si="40"/>
        <v>0</v>
      </c>
      <c r="DN30">
        <v>0</v>
      </c>
      <c r="DO30">
        <v>0</v>
      </c>
      <c r="DP30">
        <v>1</v>
      </c>
      <c r="DQ30">
        <v>1</v>
      </c>
      <c r="DU30">
        <v>1010</v>
      </c>
      <c r="DV30" t="s">
        <v>24</v>
      </c>
      <c r="DW30" t="s">
        <v>24</v>
      </c>
      <c r="DX30">
        <v>1</v>
      </c>
      <c r="EE30">
        <v>22533134</v>
      </c>
      <c r="EF30">
        <v>0</v>
      </c>
      <c r="EH30">
        <v>0</v>
      </c>
      <c r="EJ30">
        <v>4</v>
      </c>
      <c r="EK30">
        <v>0</v>
      </c>
      <c r="EL30" t="s">
        <v>47</v>
      </c>
      <c r="EM30" t="s">
        <v>48</v>
      </c>
      <c r="EQ30">
        <v>0</v>
      </c>
      <c r="ER30">
        <v>356.15</v>
      </c>
      <c r="ES30">
        <v>356.15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Q30">
        <v>0</v>
      </c>
      <c r="FR30">
        <f t="shared" si="41"/>
        <v>0</v>
      </c>
      <c r="FS30">
        <v>0</v>
      </c>
      <c r="FX30">
        <v>0</v>
      </c>
      <c r="FY30">
        <v>0</v>
      </c>
      <c r="GG30">
        <v>2</v>
      </c>
      <c r="GH30">
        <v>0</v>
      </c>
      <c r="GI30">
        <v>0</v>
      </c>
      <c r="GJ30">
        <v>0</v>
      </c>
      <c r="GK30">
        <f>ROUND(R30*(R12)/100,2)</f>
        <v>0</v>
      </c>
      <c r="GL30">
        <f t="shared" si="42"/>
        <v>0</v>
      </c>
      <c r="GM30">
        <f t="shared" si="43"/>
        <v>356.15</v>
      </c>
      <c r="GN30">
        <f t="shared" si="44"/>
        <v>0</v>
      </c>
      <c r="GO30">
        <f t="shared" si="45"/>
        <v>0</v>
      </c>
      <c r="GP30">
        <f t="shared" si="46"/>
        <v>356.15</v>
      </c>
      <c r="GR30">
        <v>0</v>
      </c>
    </row>
    <row r="31" spans="1:200" ht="12.75">
      <c r="A31">
        <v>17</v>
      </c>
      <c r="B31">
        <v>1</v>
      </c>
      <c r="E31" t="s">
        <v>53</v>
      </c>
      <c r="F31" t="s">
        <v>54</v>
      </c>
      <c r="G31" t="s">
        <v>55</v>
      </c>
      <c r="H31" t="s">
        <v>24</v>
      </c>
      <c r="I31">
        <v>1</v>
      </c>
      <c r="J31">
        <v>0</v>
      </c>
      <c r="O31">
        <f t="shared" si="10"/>
        <v>3343.05</v>
      </c>
      <c r="P31">
        <f t="shared" si="11"/>
        <v>3343.05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0</v>
      </c>
      <c r="AA31">
        <v>22534332</v>
      </c>
      <c r="AB31">
        <f t="shared" si="21"/>
        <v>3343.05</v>
      </c>
      <c r="AC31">
        <f t="shared" si="22"/>
        <v>3343.05</v>
      </c>
      <c r="AD31">
        <f t="shared" si="23"/>
        <v>0</v>
      </c>
      <c r="AE31">
        <f t="shared" si="24"/>
        <v>0</v>
      </c>
      <c r="AF31">
        <f t="shared" si="25"/>
        <v>0</v>
      </c>
      <c r="AG31">
        <f t="shared" si="26"/>
        <v>0</v>
      </c>
      <c r="AH31">
        <f t="shared" si="27"/>
        <v>0</v>
      </c>
      <c r="AI31">
        <f t="shared" si="28"/>
        <v>0</v>
      </c>
      <c r="AJ31">
        <f t="shared" si="29"/>
        <v>0</v>
      </c>
      <c r="AK31">
        <v>3343.05</v>
      </c>
      <c r="AL31">
        <v>3343.05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1.047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4</v>
      </c>
      <c r="BJ31" t="s">
        <v>56</v>
      </c>
      <c r="BM31">
        <v>0</v>
      </c>
      <c r="BN31">
        <v>0</v>
      </c>
      <c r="BP31">
        <v>0</v>
      </c>
      <c r="BQ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30"/>
        <v>3343.05</v>
      </c>
      <c r="CQ31">
        <f t="shared" si="31"/>
        <v>3343.05</v>
      </c>
      <c r="CR31">
        <f t="shared" si="32"/>
        <v>0</v>
      </c>
      <c r="CS31">
        <f t="shared" si="33"/>
        <v>0</v>
      </c>
      <c r="CT31">
        <f t="shared" si="34"/>
        <v>0</v>
      </c>
      <c r="CU31">
        <f t="shared" si="35"/>
        <v>0</v>
      </c>
      <c r="CV31">
        <f t="shared" si="36"/>
        <v>0</v>
      </c>
      <c r="CW31">
        <f t="shared" si="37"/>
        <v>0</v>
      </c>
      <c r="CX31">
        <f t="shared" si="38"/>
        <v>0</v>
      </c>
      <c r="CY31">
        <f t="shared" si="39"/>
        <v>0</v>
      </c>
      <c r="CZ31">
        <f t="shared" si="40"/>
        <v>0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24</v>
      </c>
      <c r="DW31" t="s">
        <v>24</v>
      </c>
      <c r="DX31">
        <v>1</v>
      </c>
      <c r="EE31">
        <v>22533134</v>
      </c>
      <c r="EF31">
        <v>0</v>
      </c>
      <c r="EH31">
        <v>0</v>
      </c>
      <c r="EJ31">
        <v>4</v>
      </c>
      <c r="EK31">
        <v>0</v>
      </c>
      <c r="EL31" t="s">
        <v>47</v>
      </c>
      <c r="EM31" t="s">
        <v>48</v>
      </c>
      <c r="EQ31">
        <v>0</v>
      </c>
      <c r="ER31">
        <v>3343.05</v>
      </c>
      <c r="ES31">
        <v>3343.05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Q31">
        <v>0</v>
      </c>
      <c r="FR31">
        <f t="shared" si="41"/>
        <v>0</v>
      </c>
      <c r="FS31">
        <v>0</v>
      </c>
      <c r="FX31">
        <v>0</v>
      </c>
      <c r="FY31">
        <v>0</v>
      </c>
      <c r="GG31">
        <v>2</v>
      </c>
      <c r="GH31">
        <v>0</v>
      </c>
      <c r="GI31">
        <v>0</v>
      </c>
      <c r="GJ31">
        <v>0</v>
      </c>
      <c r="GK31">
        <f>ROUND(R31*(R12)/100,2)</f>
        <v>0</v>
      </c>
      <c r="GL31">
        <f t="shared" si="42"/>
        <v>0</v>
      </c>
      <c r="GM31">
        <f t="shared" si="43"/>
        <v>3343.05</v>
      </c>
      <c r="GN31">
        <f t="shared" si="44"/>
        <v>0</v>
      </c>
      <c r="GO31">
        <f t="shared" si="45"/>
        <v>0</v>
      </c>
      <c r="GP31">
        <f t="shared" si="46"/>
        <v>3343.05</v>
      </c>
      <c r="GR31">
        <v>0</v>
      </c>
    </row>
    <row r="32" spans="1:200" ht="12.75">
      <c r="A32">
        <v>17</v>
      </c>
      <c r="B32">
        <v>1</v>
      </c>
      <c r="E32" t="s">
        <v>57</v>
      </c>
      <c r="F32" t="s">
        <v>58</v>
      </c>
      <c r="G32" t="s">
        <v>59</v>
      </c>
      <c r="H32" t="s">
        <v>24</v>
      </c>
      <c r="I32">
        <v>1</v>
      </c>
      <c r="J32">
        <v>0</v>
      </c>
      <c r="O32">
        <f t="shared" si="10"/>
        <v>89.58</v>
      </c>
      <c r="P32">
        <f t="shared" si="11"/>
        <v>89.58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0</v>
      </c>
      <c r="AA32">
        <v>22534332</v>
      </c>
      <c r="AB32">
        <f t="shared" si="21"/>
        <v>89.58</v>
      </c>
      <c r="AC32">
        <f t="shared" si="22"/>
        <v>89.58</v>
      </c>
      <c r="AD32">
        <f t="shared" si="23"/>
        <v>0</v>
      </c>
      <c r="AE32">
        <f t="shared" si="24"/>
        <v>0</v>
      </c>
      <c r="AF32">
        <f t="shared" si="25"/>
        <v>0</v>
      </c>
      <c r="AG32">
        <f t="shared" si="26"/>
        <v>0</v>
      </c>
      <c r="AH32">
        <f t="shared" si="27"/>
        <v>0</v>
      </c>
      <c r="AI32">
        <f t="shared" si="28"/>
        <v>0</v>
      </c>
      <c r="AJ32">
        <f t="shared" si="29"/>
        <v>0</v>
      </c>
      <c r="AK32">
        <v>89.58</v>
      </c>
      <c r="AL32">
        <v>89.58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1.047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4</v>
      </c>
      <c r="BJ32" t="s">
        <v>60</v>
      </c>
      <c r="BM32">
        <v>0</v>
      </c>
      <c r="BN32">
        <v>0</v>
      </c>
      <c r="BP32">
        <v>0</v>
      </c>
      <c r="BQ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30"/>
        <v>89.58</v>
      </c>
      <c r="CQ32">
        <f t="shared" si="31"/>
        <v>89.58</v>
      </c>
      <c r="CR32">
        <f t="shared" si="32"/>
        <v>0</v>
      </c>
      <c r="CS32">
        <f t="shared" si="33"/>
        <v>0</v>
      </c>
      <c r="CT32">
        <f t="shared" si="34"/>
        <v>0</v>
      </c>
      <c r="CU32">
        <f t="shared" si="35"/>
        <v>0</v>
      </c>
      <c r="CV32">
        <f t="shared" si="36"/>
        <v>0</v>
      </c>
      <c r="CW32">
        <f t="shared" si="37"/>
        <v>0</v>
      </c>
      <c r="CX32">
        <f t="shared" si="38"/>
        <v>0</v>
      </c>
      <c r="CY32">
        <f t="shared" si="39"/>
        <v>0</v>
      </c>
      <c r="CZ32">
        <f t="shared" si="40"/>
        <v>0</v>
      </c>
      <c r="DN32">
        <v>0</v>
      </c>
      <c r="DO32">
        <v>0</v>
      </c>
      <c r="DP32">
        <v>1</v>
      </c>
      <c r="DQ32">
        <v>1</v>
      </c>
      <c r="DU32">
        <v>1010</v>
      </c>
      <c r="DV32" t="s">
        <v>24</v>
      </c>
      <c r="DW32" t="s">
        <v>24</v>
      </c>
      <c r="DX32">
        <v>1</v>
      </c>
      <c r="EE32">
        <v>22533134</v>
      </c>
      <c r="EF32">
        <v>0</v>
      </c>
      <c r="EH32">
        <v>0</v>
      </c>
      <c r="EJ32">
        <v>4</v>
      </c>
      <c r="EK32">
        <v>0</v>
      </c>
      <c r="EL32" t="s">
        <v>47</v>
      </c>
      <c r="EM32" t="s">
        <v>48</v>
      </c>
      <c r="EQ32">
        <v>0</v>
      </c>
      <c r="ER32">
        <v>89.58</v>
      </c>
      <c r="ES32">
        <v>89.58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Q32">
        <v>0</v>
      </c>
      <c r="FR32">
        <f t="shared" si="41"/>
        <v>0</v>
      </c>
      <c r="FS32">
        <v>0</v>
      </c>
      <c r="FX32">
        <v>0</v>
      </c>
      <c r="FY32">
        <v>0</v>
      </c>
      <c r="GG32">
        <v>2</v>
      </c>
      <c r="GH32">
        <v>0</v>
      </c>
      <c r="GI32">
        <v>0</v>
      </c>
      <c r="GJ32">
        <v>0</v>
      </c>
      <c r="GK32">
        <f>ROUND(R32*(R12)/100,2)</f>
        <v>0</v>
      </c>
      <c r="GL32">
        <f t="shared" si="42"/>
        <v>0</v>
      </c>
      <c r="GM32">
        <f t="shared" si="43"/>
        <v>89.58</v>
      </c>
      <c r="GN32">
        <f t="shared" si="44"/>
        <v>0</v>
      </c>
      <c r="GO32">
        <f t="shared" si="45"/>
        <v>0</v>
      </c>
      <c r="GP32">
        <f t="shared" si="46"/>
        <v>89.58</v>
      </c>
      <c r="GR32">
        <v>0</v>
      </c>
    </row>
    <row r="34" spans="1:118" ht="12.75">
      <c r="A34" s="2">
        <v>51</v>
      </c>
      <c r="B34" s="2">
        <f>B20</f>
        <v>1</v>
      </c>
      <c r="C34" s="2">
        <f>A20</f>
        <v>3</v>
      </c>
      <c r="D34" s="2">
        <f>ROW(A20)</f>
        <v>20</v>
      </c>
      <c r="E34" s="2"/>
      <c r="F34" s="2" t="str">
        <f>IF(F20&lt;&gt;"",F20,"")</f>
        <v>ПОЖАРНАЯ СИГНАЛИЗАЦИЯ</v>
      </c>
      <c r="G34" s="2" t="str">
        <f>IF(G20&lt;&gt;"",G20,"")</f>
        <v>ПОЖАРНАЯ СИГНАЛИЗАЦИЯ</v>
      </c>
      <c r="H34" s="2"/>
      <c r="I34" s="2"/>
      <c r="J34" s="2"/>
      <c r="K34" s="2"/>
      <c r="L34" s="2"/>
      <c r="M34" s="2"/>
      <c r="N34" s="2"/>
      <c r="O34" s="2">
        <f aca="true" t="shared" si="47" ref="O34:T34">ROUND(AB34,2)</f>
        <v>50412.48</v>
      </c>
      <c r="P34" s="2">
        <f t="shared" si="47"/>
        <v>22948.5</v>
      </c>
      <c r="Q34" s="2">
        <f t="shared" si="47"/>
        <v>2.6</v>
      </c>
      <c r="R34" s="2">
        <f t="shared" si="47"/>
        <v>0.27</v>
      </c>
      <c r="S34" s="2">
        <f t="shared" si="47"/>
        <v>27461.38</v>
      </c>
      <c r="T34" s="2">
        <f t="shared" si="47"/>
        <v>0</v>
      </c>
      <c r="U34" s="2">
        <f>AH34</f>
        <v>1739.807</v>
      </c>
      <c r="V34" s="2">
        <f>AI34</f>
        <v>0</v>
      </c>
      <c r="W34" s="2">
        <f>ROUND(AJ34,2)</f>
        <v>0</v>
      </c>
      <c r="X34" s="2">
        <f>ROUND(AK34,2)</f>
        <v>20824.32</v>
      </c>
      <c r="Y34" s="2">
        <f>ROUND(AL34,2)</f>
        <v>16817.03</v>
      </c>
      <c r="Z34" s="2"/>
      <c r="AA34" s="2"/>
      <c r="AB34" s="2">
        <f>ROUND(SUMIF(AA24:AA32,"=22534332",O24:O32),2)</f>
        <v>50412.48</v>
      </c>
      <c r="AC34" s="2">
        <f>ROUND(SUMIF(AA24:AA32,"=22534332",P24:P32),2)</f>
        <v>22948.5</v>
      </c>
      <c r="AD34" s="2">
        <f>ROUND(SUMIF(AA24:AA32,"=22534332",Q24:Q32),2)</f>
        <v>2.6</v>
      </c>
      <c r="AE34" s="2">
        <f>ROUND(SUMIF(AA24:AA32,"=22534332",R24:R32),2)</f>
        <v>0.27</v>
      </c>
      <c r="AF34" s="2">
        <f>ROUND(SUMIF(AA24:AA32,"=22534332",S24:S32),2)</f>
        <v>27461.38</v>
      </c>
      <c r="AG34" s="2">
        <f>ROUND(SUMIF(AA24:AA32,"=22534332",T24:T32),2)</f>
        <v>0</v>
      </c>
      <c r="AH34" s="2">
        <f>SUMIF(AA24:AA32,"=22534332",U24:U32)</f>
        <v>1739.807</v>
      </c>
      <c r="AI34" s="2">
        <f>SUMIF(AA24:AA32,"=22534332",V24:V32)</f>
        <v>0</v>
      </c>
      <c r="AJ34" s="2">
        <f>ROUND(SUMIF(AA24:AA32,"=22534332",W24:W32),2)</f>
        <v>0</v>
      </c>
      <c r="AK34" s="2">
        <f>ROUND(SUMIF(AA24:AA32,"=22534332",X24:X32),2)</f>
        <v>20824.32</v>
      </c>
      <c r="AL34" s="2">
        <f>ROUND(SUMIF(AA24:AA32,"=22534332",Y24:Y32),2)</f>
        <v>16817.03</v>
      </c>
      <c r="AM34" s="2"/>
      <c r="AN34" s="2"/>
      <c r="AO34" s="2">
        <f aca="true" t="shared" si="48" ref="AO34:AU34">ROUND(BB34,2)</f>
        <v>0</v>
      </c>
      <c r="AP34" s="2">
        <f t="shared" si="48"/>
        <v>0</v>
      </c>
      <c r="AQ34" s="2">
        <f t="shared" si="48"/>
        <v>0</v>
      </c>
      <c r="AR34" s="2">
        <f t="shared" si="48"/>
        <v>88054.32</v>
      </c>
      <c r="AS34" s="2">
        <f t="shared" si="48"/>
        <v>0</v>
      </c>
      <c r="AT34" s="2">
        <f t="shared" si="48"/>
        <v>65200.74</v>
      </c>
      <c r="AU34" s="2">
        <f t="shared" si="48"/>
        <v>22853.58</v>
      </c>
      <c r="AV34" s="2"/>
      <c r="AW34" s="2"/>
      <c r="AX34" s="2"/>
      <c r="AY34" s="2"/>
      <c r="AZ34" s="2"/>
      <c r="BA34" s="2"/>
      <c r="BB34" s="2">
        <f>ROUND(SUMIF(AA24:AA32,"=22534332",FQ24:FQ32),2)</f>
        <v>0</v>
      </c>
      <c r="BC34" s="2">
        <f>ROUND(SUMIF(AA24:AA32,"=22534332",FR24:FR32),2)</f>
        <v>0</v>
      </c>
      <c r="BD34" s="2">
        <f>ROUND(SUMIF(AA24:AA32,"=22534332",GL24:GL32),2)</f>
        <v>0</v>
      </c>
      <c r="BE34" s="2">
        <f>ROUND(SUMIF(AA24:AA32,"=22534332",GM24:GM32),2)</f>
        <v>88054.32</v>
      </c>
      <c r="BF34" s="2">
        <f>ROUND(SUMIF(AA24:AA32,"=22534332",GN24:GN32),2)</f>
        <v>0</v>
      </c>
      <c r="BG34" s="2">
        <f>ROUND(SUMIF(AA24:AA32,"=22534332",GO24:GO32),2)</f>
        <v>65200.74</v>
      </c>
      <c r="BH34" s="2">
        <f>ROUND(SUMIF(AA24:AA32,"=22534332",GP24:GP32),2)</f>
        <v>22853.58</v>
      </c>
      <c r="BI34" s="2"/>
      <c r="BJ34" s="2"/>
      <c r="BK34" s="2"/>
      <c r="BL34" s="2"/>
      <c r="BM34" s="2"/>
      <c r="BN34" s="2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>
        <v>0</v>
      </c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201</v>
      </c>
      <c r="F36" s="4">
        <f>ROUND(Source!O34,O36)</f>
        <v>50412.48</v>
      </c>
      <c r="G36" s="4" t="s">
        <v>61</v>
      </c>
      <c r="H36" s="4" t="s">
        <v>62</v>
      </c>
      <c r="I36" s="4"/>
      <c r="J36" s="4"/>
      <c r="K36" s="4">
        <v>201</v>
      </c>
      <c r="L36" s="4">
        <v>1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202</v>
      </c>
      <c r="F37" s="4">
        <f>ROUND(Source!P34,O37)</f>
        <v>22948.5</v>
      </c>
      <c r="G37" s="4" t="s">
        <v>63</v>
      </c>
      <c r="H37" s="4" t="s">
        <v>64</v>
      </c>
      <c r="I37" s="4"/>
      <c r="J37" s="4"/>
      <c r="K37" s="4">
        <v>202</v>
      </c>
      <c r="L37" s="4">
        <v>2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222</v>
      </c>
      <c r="F38" s="4">
        <f>ROUND(Source!AO34,O38)</f>
        <v>0</v>
      </c>
      <c r="G38" s="4" t="s">
        <v>65</v>
      </c>
      <c r="H38" s="4" t="s">
        <v>66</v>
      </c>
      <c r="I38" s="4"/>
      <c r="J38" s="4"/>
      <c r="K38" s="4">
        <v>222</v>
      </c>
      <c r="L38" s="4">
        <v>3</v>
      </c>
      <c r="M38" s="4">
        <v>3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216</v>
      </c>
      <c r="F39" s="4">
        <f>ROUND(Source!AP34,O39)</f>
        <v>0</v>
      </c>
      <c r="G39" s="4" t="s">
        <v>67</v>
      </c>
      <c r="H39" s="4" t="s">
        <v>68</v>
      </c>
      <c r="I39" s="4"/>
      <c r="J39" s="4"/>
      <c r="K39" s="4">
        <v>216</v>
      </c>
      <c r="L39" s="4">
        <v>4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223</v>
      </c>
      <c r="F40" s="4">
        <f>ROUND(Source!AQ34,O40)</f>
        <v>0</v>
      </c>
      <c r="G40" s="4" t="s">
        <v>69</v>
      </c>
      <c r="H40" s="4" t="s">
        <v>70</v>
      </c>
      <c r="I40" s="4"/>
      <c r="J40" s="4"/>
      <c r="K40" s="4">
        <v>223</v>
      </c>
      <c r="L40" s="4">
        <v>5</v>
      </c>
      <c r="M40" s="4">
        <v>3</v>
      </c>
      <c r="N40" s="4" t="s">
        <v>3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203</v>
      </c>
      <c r="F41" s="4">
        <f>ROUND(Source!Q34,O41)</f>
        <v>2.6</v>
      </c>
      <c r="G41" s="4" t="s">
        <v>71</v>
      </c>
      <c r="H41" s="4" t="s">
        <v>72</v>
      </c>
      <c r="I41" s="4"/>
      <c r="J41" s="4"/>
      <c r="K41" s="4">
        <v>203</v>
      </c>
      <c r="L41" s="4">
        <v>6</v>
      </c>
      <c r="M41" s="4">
        <v>3</v>
      </c>
      <c r="N41" s="4" t="s">
        <v>3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204</v>
      </c>
      <c r="F42" s="4">
        <f>ROUND(Source!R34,O42)</f>
        <v>0.27</v>
      </c>
      <c r="G42" s="4" t="s">
        <v>73</v>
      </c>
      <c r="H42" s="4" t="s">
        <v>74</v>
      </c>
      <c r="I42" s="4"/>
      <c r="J42" s="4"/>
      <c r="K42" s="4">
        <v>204</v>
      </c>
      <c r="L42" s="4">
        <v>7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205</v>
      </c>
      <c r="F43" s="4">
        <f>ROUND(Source!S34,O43)</f>
        <v>27461.38</v>
      </c>
      <c r="G43" s="4" t="s">
        <v>75</v>
      </c>
      <c r="H43" s="4" t="s">
        <v>76</v>
      </c>
      <c r="I43" s="4"/>
      <c r="J43" s="4"/>
      <c r="K43" s="4">
        <v>205</v>
      </c>
      <c r="L43" s="4">
        <v>8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214</v>
      </c>
      <c r="F44" s="4">
        <f>ROUND(Source!AS34,O44)</f>
        <v>0</v>
      </c>
      <c r="G44" s="4" t="s">
        <v>77</v>
      </c>
      <c r="H44" s="4" t="s">
        <v>78</v>
      </c>
      <c r="I44" s="4"/>
      <c r="J44" s="4"/>
      <c r="K44" s="4">
        <v>214</v>
      </c>
      <c r="L44" s="4">
        <v>9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215</v>
      </c>
      <c r="F45" s="4">
        <f>ROUND(Source!AT34,O45)</f>
        <v>65200.74</v>
      </c>
      <c r="G45" s="4" t="s">
        <v>79</v>
      </c>
      <c r="H45" s="4" t="s">
        <v>80</v>
      </c>
      <c r="I45" s="4"/>
      <c r="J45" s="4"/>
      <c r="K45" s="4">
        <v>215</v>
      </c>
      <c r="L45" s="4">
        <v>10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217</v>
      </c>
      <c r="F46" s="4">
        <f>ROUND(Source!AU34,O46)</f>
        <v>22853.58</v>
      </c>
      <c r="G46" s="4" t="s">
        <v>81</v>
      </c>
      <c r="H46" s="4" t="s">
        <v>82</v>
      </c>
      <c r="I46" s="4"/>
      <c r="J46" s="4"/>
      <c r="K46" s="4">
        <v>217</v>
      </c>
      <c r="L46" s="4">
        <v>11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206</v>
      </c>
      <c r="F47" s="4">
        <f>ROUND(Source!T34,O47)</f>
        <v>0</v>
      </c>
      <c r="G47" s="4" t="s">
        <v>83</v>
      </c>
      <c r="H47" s="4" t="s">
        <v>84</v>
      </c>
      <c r="I47" s="4"/>
      <c r="J47" s="4"/>
      <c r="K47" s="4">
        <v>206</v>
      </c>
      <c r="L47" s="4">
        <v>12</v>
      </c>
      <c r="M47" s="4">
        <v>3</v>
      </c>
      <c r="N47" s="4" t="s">
        <v>3</v>
      </c>
      <c r="O47" s="4">
        <v>2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207</v>
      </c>
      <c r="F48" s="4">
        <f>ROUND(Source!U34,O48)</f>
        <v>1739.81</v>
      </c>
      <c r="G48" s="4" t="s">
        <v>85</v>
      </c>
      <c r="H48" s="4" t="s">
        <v>86</v>
      </c>
      <c r="I48" s="4"/>
      <c r="J48" s="4"/>
      <c r="K48" s="4">
        <v>207</v>
      </c>
      <c r="L48" s="4">
        <v>13</v>
      </c>
      <c r="M48" s="4">
        <v>3</v>
      </c>
      <c r="N48" s="4" t="s">
        <v>3</v>
      </c>
      <c r="O48" s="4">
        <v>2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208</v>
      </c>
      <c r="F49" s="4">
        <f>ROUND(Source!V34,O49)</f>
        <v>0</v>
      </c>
      <c r="G49" s="4" t="s">
        <v>87</v>
      </c>
      <c r="H49" s="4" t="s">
        <v>88</v>
      </c>
      <c r="I49" s="4"/>
      <c r="J49" s="4"/>
      <c r="K49" s="4">
        <v>208</v>
      </c>
      <c r="L49" s="4">
        <v>14</v>
      </c>
      <c r="M49" s="4">
        <v>3</v>
      </c>
      <c r="N49" s="4" t="s">
        <v>3</v>
      </c>
      <c r="O49" s="4">
        <v>2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209</v>
      </c>
      <c r="F50" s="4">
        <f>ROUND(Source!W34,O50)</f>
        <v>0</v>
      </c>
      <c r="G50" s="4" t="s">
        <v>89</v>
      </c>
      <c r="H50" s="4" t="s">
        <v>90</v>
      </c>
      <c r="I50" s="4"/>
      <c r="J50" s="4"/>
      <c r="K50" s="4">
        <v>209</v>
      </c>
      <c r="L50" s="4">
        <v>15</v>
      </c>
      <c r="M50" s="4">
        <v>3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210</v>
      </c>
      <c r="F51" s="4">
        <f>ROUND(Source!X34,O51)</f>
        <v>20824.32</v>
      </c>
      <c r="G51" s="4" t="s">
        <v>91</v>
      </c>
      <c r="H51" s="4" t="s">
        <v>92</v>
      </c>
      <c r="I51" s="4"/>
      <c r="J51" s="4"/>
      <c r="K51" s="4">
        <v>210</v>
      </c>
      <c r="L51" s="4">
        <v>16</v>
      </c>
      <c r="M51" s="4">
        <v>3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211</v>
      </c>
      <c r="F52" s="4">
        <f>ROUND(Source!Y34,O52)</f>
        <v>16817.03</v>
      </c>
      <c r="G52" s="4" t="s">
        <v>93</v>
      </c>
      <c r="H52" s="4" t="s">
        <v>94</v>
      </c>
      <c r="I52" s="4"/>
      <c r="J52" s="4"/>
      <c r="K52" s="4">
        <v>211</v>
      </c>
      <c r="L52" s="4">
        <v>17</v>
      </c>
      <c r="M52" s="4">
        <v>3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224</v>
      </c>
      <c r="F53" s="4">
        <f>ROUND(Source!AR34,O53)</f>
        <v>88054.32</v>
      </c>
      <c r="G53" s="4" t="s">
        <v>95</v>
      </c>
      <c r="H53" s="4" t="s">
        <v>96</v>
      </c>
      <c r="I53" s="4"/>
      <c r="J53" s="4"/>
      <c r="K53" s="4">
        <v>224</v>
      </c>
      <c r="L53" s="4">
        <v>18</v>
      </c>
      <c r="M53" s="4">
        <v>3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v>1</v>
      </c>
      <c r="C54" s="4">
        <v>0</v>
      </c>
      <c r="D54" s="4">
        <v>2</v>
      </c>
      <c r="E54" s="4">
        <v>0</v>
      </c>
      <c r="F54" s="4">
        <f>ROUND(F36+F51+F52+F42*1.55,O54)</f>
        <v>88054.25</v>
      </c>
      <c r="G54" s="4" t="s">
        <v>97</v>
      </c>
      <c r="H54" s="4" t="s">
        <v>98</v>
      </c>
      <c r="I54" s="4"/>
      <c r="J54" s="4"/>
      <c r="K54" s="4">
        <v>212</v>
      </c>
      <c r="L54" s="4">
        <v>19</v>
      </c>
      <c r="M54" s="4">
        <v>0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v>1</v>
      </c>
      <c r="C55" s="4">
        <v>0</v>
      </c>
      <c r="D55" s="4">
        <v>2</v>
      </c>
      <c r="E55" s="4">
        <v>0</v>
      </c>
      <c r="F55" s="4">
        <f>ROUND(F54*0.2,O55)</f>
        <v>17610.85</v>
      </c>
      <c r="G55" s="4" t="s">
        <v>99</v>
      </c>
      <c r="H55" s="4" t="s">
        <v>100</v>
      </c>
      <c r="I55" s="4"/>
      <c r="J55" s="4"/>
      <c r="K55" s="4">
        <v>212</v>
      </c>
      <c r="L55" s="4">
        <v>20</v>
      </c>
      <c r="M55" s="4">
        <v>0</v>
      </c>
      <c r="N55" s="4" t="s">
        <v>3</v>
      </c>
      <c r="O55" s="4">
        <v>2</v>
      </c>
      <c r="P55" s="4"/>
    </row>
    <row r="56" spans="1:16" ht="12.75">
      <c r="A56" s="4">
        <v>50</v>
      </c>
      <c r="B56" s="4">
        <v>1</v>
      </c>
      <c r="C56" s="4">
        <v>0</v>
      </c>
      <c r="D56" s="4">
        <v>2</v>
      </c>
      <c r="E56" s="4">
        <v>0</v>
      </c>
      <c r="F56" s="4">
        <f>ROUND(F54+F55,O56)</f>
        <v>105665.1</v>
      </c>
      <c r="G56" s="4" t="s">
        <v>101</v>
      </c>
      <c r="H56" s="4" t="s">
        <v>102</v>
      </c>
      <c r="I56" s="4"/>
      <c r="J56" s="4"/>
      <c r="K56" s="4">
        <v>212</v>
      </c>
      <c r="L56" s="4">
        <v>21</v>
      </c>
      <c r="M56" s="4">
        <v>0</v>
      </c>
      <c r="N56" s="4" t="s">
        <v>3</v>
      </c>
      <c r="O56" s="4">
        <v>2</v>
      </c>
      <c r="P56" s="4"/>
    </row>
    <row r="58" spans="1:118" ht="12.75">
      <c r="A58" s="2">
        <v>51</v>
      </c>
      <c r="B58" s="2">
        <f>B12</f>
        <v>82</v>
      </c>
      <c r="C58" s="2">
        <f>A12</f>
        <v>1</v>
      </c>
      <c r="D58" s="2">
        <f>ROW(A12)</f>
        <v>12</v>
      </c>
      <c r="E58" s="2"/>
      <c r="F58" s="2" t="str">
        <f>IF(F12&lt;&gt;"",F12,"")</f>
        <v>ДОМ №10 (ТСН-2001. ТЕРРИТОРИАЛЬНЫЕ СМЕТНЫЕ НОРМАТИВЫ ДЛЯ МОС</v>
      </c>
      <c r="G58" s="2" t="str">
        <f>IF(G12&lt;&gt;"",G12,"")</f>
        <v>ДОМ №10 Смета на пожарную сигнализацию</v>
      </c>
      <c r="H58" s="2"/>
      <c r="I58" s="2"/>
      <c r="J58" s="2"/>
      <c r="K58" s="2"/>
      <c r="L58" s="2"/>
      <c r="M58" s="2"/>
      <c r="N58" s="2"/>
      <c r="O58" s="2">
        <f aca="true" t="shared" si="49" ref="O58:T58">ROUND(O34,2)</f>
        <v>50412.48</v>
      </c>
      <c r="P58" s="2">
        <f t="shared" si="49"/>
        <v>22948.5</v>
      </c>
      <c r="Q58" s="2">
        <f t="shared" si="49"/>
        <v>2.6</v>
      </c>
      <c r="R58" s="2">
        <f t="shared" si="49"/>
        <v>0.27</v>
      </c>
      <c r="S58" s="2">
        <f t="shared" si="49"/>
        <v>27461.38</v>
      </c>
      <c r="T58" s="2">
        <f t="shared" si="49"/>
        <v>0</v>
      </c>
      <c r="U58" s="2">
        <f>U34</f>
        <v>1739.807</v>
      </c>
      <c r="V58" s="2">
        <f>V34</f>
        <v>0</v>
      </c>
      <c r="W58" s="2">
        <f>ROUND(W34,2)</f>
        <v>0</v>
      </c>
      <c r="X58" s="2">
        <f>ROUND(X34,2)</f>
        <v>20824.32</v>
      </c>
      <c r="Y58" s="2">
        <f>ROUND(Y34,2)</f>
        <v>16817.03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f aca="true" t="shared" si="50" ref="AO58:AU58">ROUND(AO34,2)</f>
        <v>0</v>
      </c>
      <c r="AP58" s="2">
        <f t="shared" si="50"/>
        <v>0</v>
      </c>
      <c r="AQ58" s="2">
        <f t="shared" si="50"/>
        <v>0</v>
      </c>
      <c r="AR58" s="2">
        <f t="shared" si="50"/>
        <v>88054.32</v>
      </c>
      <c r="AS58" s="2">
        <f t="shared" si="50"/>
        <v>0</v>
      </c>
      <c r="AT58" s="2">
        <f t="shared" si="50"/>
        <v>65200.74</v>
      </c>
      <c r="AU58" s="2">
        <f t="shared" si="50"/>
        <v>22853.58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>
        <v>0</v>
      </c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201</v>
      </c>
      <c r="F60" s="4">
        <f>ROUND(Source!O58,O60)</f>
        <v>50412.48</v>
      </c>
      <c r="G60" s="4" t="s">
        <v>61</v>
      </c>
      <c r="H60" s="4" t="s">
        <v>62</v>
      </c>
      <c r="I60" s="4"/>
      <c r="J60" s="4"/>
      <c r="K60" s="4">
        <v>201</v>
      </c>
      <c r="L60" s="4">
        <v>1</v>
      </c>
      <c r="M60" s="4">
        <v>3</v>
      </c>
      <c r="N60" s="4" t="s">
        <v>3</v>
      </c>
      <c r="O60" s="4">
        <v>2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202</v>
      </c>
      <c r="F61" s="4">
        <f>ROUND(Source!P58,O61)</f>
        <v>22948.5</v>
      </c>
      <c r="G61" s="4" t="s">
        <v>63</v>
      </c>
      <c r="H61" s="4" t="s">
        <v>64</v>
      </c>
      <c r="I61" s="4"/>
      <c r="J61" s="4"/>
      <c r="K61" s="4">
        <v>202</v>
      </c>
      <c r="L61" s="4">
        <v>2</v>
      </c>
      <c r="M61" s="4">
        <v>3</v>
      </c>
      <c r="N61" s="4" t="s">
        <v>3</v>
      </c>
      <c r="O61" s="4">
        <v>2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222</v>
      </c>
      <c r="F62" s="4">
        <f>ROUND(Source!AO58,O62)</f>
        <v>0</v>
      </c>
      <c r="G62" s="4" t="s">
        <v>65</v>
      </c>
      <c r="H62" s="4" t="s">
        <v>66</v>
      </c>
      <c r="I62" s="4"/>
      <c r="J62" s="4"/>
      <c r="K62" s="4">
        <v>222</v>
      </c>
      <c r="L62" s="4">
        <v>3</v>
      </c>
      <c r="M62" s="4">
        <v>3</v>
      </c>
      <c r="N62" s="4" t="s">
        <v>3</v>
      </c>
      <c r="O62" s="4">
        <v>2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216</v>
      </c>
      <c r="F63" s="4">
        <f>ROUND(Source!AP58,O63)</f>
        <v>0</v>
      </c>
      <c r="G63" s="4" t="s">
        <v>67</v>
      </c>
      <c r="H63" s="4" t="s">
        <v>68</v>
      </c>
      <c r="I63" s="4"/>
      <c r="J63" s="4"/>
      <c r="K63" s="4">
        <v>216</v>
      </c>
      <c r="L63" s="4">
        <v>4</v>
      </c>
      <c r="M63" s="4">
        <v>3</v>
      </c>
      <c r="N63" s="4" t="s">
        <v>3</v>
      </c>
      <c r="O63" s="4">
        <v>2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223</v>
      </c>
      <c r="F64" s="4">
        <f>ROUND(Source!AQ58,O64)</f>
        <v>0</v>
      </c>
      <c r="G64" s="4" t="s">
        <v>69</v>
      </c>
      <c r="H64" s="4" t="s">
        <v>70</v>
      </c>
      <c r="I64" s="4"/>
      <c r="J64" s="4"/>
      <c r="K64" s="4">
        <v>223</v>
      </c>
      <c r="L64" s="4">
        <v>5</v>
      </c>
      <c r="M64" s="4">
        <v>3</v>
      </c>
      <c r="N64" s="4" t="s">
        <v>3</v>
      </c>
      <c r="O64" s="4">
        <v>2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203</v>
      </c>
      <c r="F65" s="4">
        <f>ROUND(Source!Q58,O65)</f>
        <v>2.6</v>
      </c>
      <c r="G65" s="4" t="s">
        <v>71</v>
      </c>
      <c r="H65" s="4" t="s">
        <v>72</v>
      </c>
      <c r="I65" s="4"/>
      <c r="J65" s="4"/>
      <c r="K65" s="4">
        <v>203</v>
      </c>
      <c r="L65" s="4">
        <v>6</v>
      </c>
      <c r="M65" s="4">
        <v>3</v>
      </c>
      <c r="N65" s="4" t="s">
        <v>3</v>
      </c>
      <c r="O65" s="4">
        <v>2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204</v>
      </c>
      <c r="F66" s="4">
        <f>ROUND(Source!R58,O66)</f>
        <v>0.27</v>
      </c>
      <c r="G66" s="4" t="s">
        <v>73</v>
      </c>
      <c r="H66" s="4" t="s">
        <v>74</v>
      </c>
      <c r="I66" s="4"/>
      <c r="J66" s="4"/>
      <c r="K66" s="4">
        <v>204</v>
      </c>
      <c r="L66" s="4">
        <v>7</v>
      </c>
      <c r="M66" s="4">
        <v>3</v>
      </c>
      <c r="N66" s="4" t="s">
        <v>3</v>
      </c>
      <c r="O66" s="4">
        <v>2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205</v>
      </c>
      <c r="F67" s="4">
        <f>ROUND(Source!S58,O67)</f>
        <v>27461.38</v>
      </c>
      <c r="G67" s="4" t="s">
        <v>75</v>
      </c>
      <c r="H67" s="4" t="s">
        <v>76</v>
      </c>
      <c r="I67" s="4"/>
      <c r="J67" s="4"/>
      <c r="K67" s="4">
        <v>205</v>
      </c>
      <c r="L67" s="4">
        <v>8</v>
      </c>
      <c r="M67" s="4">
        <v>3</v>
      </c>
      <c r="N67" s="4" t="s">
        <v>3</v>
      </c>
      <c r="O67" s="4">
        <v>2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214</v>
      </c>
      <c r="F68" s="4">
        <f>ROUND(Source!AS58,O68)</f>
        <v>0</v>
      </c>
      <c r="G68" s="4" t="s">
        <v>77</v>
      </c>
      <c r="H68" s="4" t="s">
        <v>78</v>
      </c>
      <c r="I68" s="4"/>
      <c r="J68" s="4"/>
      <c r="K68" s="4">
        <v>214</v>
      </c>
      <c r="L68" s="4">
        <v>9</v>
      </c>
      <c r="M68" s="4">
        <v>3</v>
      </c>
      <c r="N68" s="4" t="s">
        <v>3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215</v>
      </c>
      <c r="F69" s="4">
        <f>ROUND(Source!AT58,O69)</f>
        <v>65200.74</v>
      </c>
      <c r="G69" s="4" t="s">
        <v>79</v>
      </c>
      <c r="H69" s="4" t="s">
        <v>80</v>
      </c>
      <c r="I69" s="4"/>
      <c r="J69" s="4"/>
      <c r="K69" s="4">
        <v>215</v>
      </c>
      <c r="L69" s="4">
        <v>10</v>
      </c>
      <c r="M69" s="4">
        <v>3</v>
      </c>
      <c r="N69" s="4" t="s">
        <v>3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217</v>
      </c>
      <c r="F70" s="4">
        <f>ROUND(Source!AU58,O70)</f>
        <v>22853.58</v>
      </c>
      <c r="G70" s="4" t="s">
        <v>81</v>
      </c>
      <c r="H70" s="4" t="s">
        <v>82</v>
      </c>
      <c r="I70" s="4"/>
      <c r="J70" s="4"/>
      <c r="K70" s="4">
        <v>217</v>
      </c>
      <c r="L70" s="4">
        <v>11</v>
      </c>
      <c r="M70" s="4">
        <v>3</v>
      </c>
      <c r="N70" s="4" t="s">
        <v>3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206</v>
      </c>
      <c r="F71" s="4">
        <f>ROUND(Source!T58,O71)</f>
        <v>0</v>
      </c>
      <c r="G71" s="4" t="s">
        <v>83</v>
      </c>
      <c r="H71" s="4" t="s">
        <v>84</v>
      </c>
      <c r="I71" s="4"/>
      <c r="J71" s="4"/>
      <c r="K71" s="4">
        <v>206</v>
      </c>
      <c r="L71" s="4">
        <v>12</v>
      </c>
      <c r="M71" s="4">
        <v>3</v>
      </c>
      <c r="N71" s="4" t="s">
        <v>3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207</v>
      </c>
      <c r="F72" s="4">
        <f>ROUND(Source!U58,O72)</f>
        <v>1739.81</v>
      </c>
      <c r="G72" s="4" t="s">
        <v>85</v>
      </c>
      <c r="H72" s="4" t="s">
        <v>86</v>
      </c>
      <c r="I72" s="4"/>
      <c r="J72" s="4"/>
      <c r="K72" s="4">
        <v>207</v>
      </c>
      <c r="L72" s="4">
        <v>13</v>
      </c>
      <c r="M72" s="4">
        <v>3</v>
      </c>
      <c r="N72" s="4" t="s">
        <v>3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208</v>
      </c>
      <c r="F73" s="4">
        <f>ROUND(Source!V58,O73)</f>
        <v>0</v>
      </c>
      <c r="G73" s="4" t="s">
        <v>87</v>
      </c>
      <c r="H73" s="4" t="s">
        <v>88</v>
      </c>
      <c r="I73" s="4"/>
      <c r="J73" s="4"/>
      <c r="K73" s="4">
        <v>208</v>
      </c>
      <c r="L73" s="4">
        <v>14</v>
      </c>
      <c r="M73" s="4">
        <v>3</v>
      </c>
      <c r="N73" s="4" t="s">
        <v>3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209</v>
      </c>
      <c r="F74" s="4">
        <f>ROUND(Source!W58,O74)</f>
        <v>0</v>
      </c>
      <c r="G74" s="4" t="s">
        <v>89</v>
      </c>
      <c r="H74" s="4" t="s">
        <v>90</v>
      </c>
      <c r="I74" s="4"/>
      <c r="J74" s="4"/>
      <c r="K74" s="4">
        <v>209</v>
      </c>
      <c r="L74" s="4">
        <v>15</v>
      </c>
      <c r="M74" s="4">
        <v>3</v>
      </c>
      <c r="N74" s="4" t="s">
        <v>3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210</v>
      </c>
      <c r="F75" s="4">
        <f>ROUND(Source!X58,O75)</f>
        <v>20824.32</v>
      </c>
      <c r="G75" s="4" t="s">
        <v>91</v>
      </c>
      <c r="H75" s="4" t="s">
        <v>92</v>
      </c>
      <c r="I75" s="4"/>
      <c r="J75" s="4"/>
      <c r="K75" s="4">
        <v>210</v>
      </c>
      <c r="L75" s="4">
        <v>16</v>
      </c>
      <c r="M75" s="4">
        <v>3</v>
      </c>
      <c r="N75" s="4" t="s">
        <v>3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211</v>
      </c>
      <c r="F76" s="4">
        <f>ROUND(Source!Y58,O76)</f>
        <v>16817.03</v>
      </c>
      <c r="G76" s="4" t="s">
        <v>93</v>
      </c>
      <c r="H76" s="4" t="s">
        <v>94</v>
      </c>
      <c r="I76" s="4"/>
      <c r="J76" s="4"/>
      <c r="K76" s="4">
        <v>211</v>
      </c>
      <c r="L76" s="4">
        <v>17</v>
      </c>
      <c r="M76" s="4">
        <v>3</v>
      </c>
      <c r="N76" s="4" t="s">
        <v>3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224</v>
      </c>
      <c r="F77" s="4">
        <f>ROUND(Source!AR58,O77)</f>
        <v>88054.32</v>
      </c>
      <c r="G77" s="4" t="s">
        <v>95</v>
      </c>
      <c r="H77" s="4" t="s">
        <v>96</v>
      </c>
      <c r="I77" s="4"/>
      <c r="J77" s="4"/>
      <c r="K77" s="4">
        <v>224</v>
      </c>
      <c r="L77" s="4">
        <v>18</v>
      </c>
      <c r="M77" s="4">
        <v>3</v>
      </c>
      <c r="N77" s="4" t="s">
        <v>3</v>
      </c>
      <c r="O77" s="4">
        <v>2</v>
      </c>
      <c r="P77" s="4"/>
    </row>
    <row r="80" ht="12.75">
      <c r="A80">
        <v>-1</v>
      </c>
    </row>
    <row r="82" spans="1:15" ht="12.75">
      <c r="A82">
        <v>75</v>
      </c>
      <c r="B82" t="s">
        <v>103</v>
      </c>
      <c r="C82">
        <v>2000</v>
      </c>
      <c r="D82">
        <v>0</v>
      </c>
      <c r="E82">
        <v>1</v>
      </c>
      <c r="F82">
        <v>1</v>
      </c>
      <c r="G82">
        <v>0</v>
      </c>
      <c r="H82">
        <v>2</v>
      </c>
      <c r="I82">
        <v>1</v>
      </c>
      <c r="J82">
        <v>1</v>
      </c>
      <c r="K82">
        <v>94</v>
      </c>
      <c r="L82">
        <v>86</v>
      </c>
      <c r="M82">
        <v>0</v>
      </c>
      <c r="N82">
        <v>22534332</v>
      </c>
      <c r="O82">
        <v>1</v>
      </c>
    </row>
    <row r="86" spans="1:5" ht="12.75">
      <c r="A86">
        <v>65</v>
      </c>
      <c r="C86">
        <v>1</v>
      </c>
      <c r="D86">
        <v>0</v>
      </c>
      <c r="E8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104</v>
      </c>
      <c r="F1">
        <v>0</v>
      </c>
      <c r="G1">
        <v>0</v>
      </c>
      <c r="H1">
        <v>0</v>
      </c>
      <c r="I1" t="s">
        <v>2</v>
      </c>
      <c r="K1">
        <v>1</v>
      </c>
      <c r="L1">
        <v>48816</v>
      </c>
    </row>
    <row r="12" spans="1:133" ht="12.75">
      <c r="A12">
        <v>1</v>
      </c>
      <c r="B12">
        <v>42</v>
      </c>
      <c r="C12">
        <v>0</v>
      </c>
      <c r="E12">
        <v>0</v>
      </c>
      <c r="F12" t="s">
        <v>4</v>
      </c>
      <c r="G12" t="s">
        <v>5</v>
      </c>
      <c r="I12">
        <v>0</v>
      </c>
      <c r="O12">
        <v>0</v>
      </c>
      <c r="P12">
        <v>0</v>
      </c>
      <c r="Q12">
        <v>0</v>
      </c>
      <c r="R12">
        <v>180</v>
      </c>
      <c r="V12">
        <v>0</v>
      </c>
      <c r="BH12" t="s">
        <v>6</v>
      </c>
      <c r="BI12" t="s">
        <v>7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-1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8</v>
      </c>
      <c r="BZ12" t="s">
        <v>9</v>
      </c>
      <c r="CA12" t="s">
        <v>10</v>
      </c>
      <c r="CB12" t="s">
        <v>10</v>
      </c>
      <c r="CC12" t="s">
        <v>10</v>
      </c>
      <c r="CD12" t="s">
        <v>10</v>
      </c>
      <c r="CE12" t="s">
        <v>11</v>
      </c>
      <c r="CF12">
        <v>0</v>
      </c>
      <c r="CG12">
        <v>0</v>
      </c>
      <c r="CH12">
        <v>0</v>
      </c>
      <c r="EC12">
        <v>0</v>
      </c>
    </row>
    <row r="14" spans="1:5" ht="12.75">
      <c r="A14">
        <v>22</v>
      </c>
      <c r="B14">
        <v>0</v>
      </c>
      <c r="C14">
        <v>0</v>
      </c>
      <c r="D14">
        <v>22534332</v>
      </c>
      <c r="E14">
        <v>0</v>
      </c>
    </row>
    <row r="16" spans="1:63" ht="12.75">
      <c r="A16">
        <v>3</v>
      </c>
      <c r="B16">
        <v>1</v>
      </c>
      <c r="C16" t="s">
        <v>12</v>
      </c>
      <c r="D16" t="s">
        <v>12</v>
      </c>
      <c r="E16">
        <v>0</v>
      </c>
      <c r="F16">
        <v>65.2</v>
      </c>
      <c r="G16">
        <v>0</v>
      </c>
      <c r="H16">
        <v>22.85</v>
      </c>
      <c r="I16">
        <v>88.05</v>
      </c>
      <c r="J16">
        <v>27.46</v>
      </c>
      <c r="AI16">
        <v>0</v>
      </c>
      <c r="AJ16">
        <v>1</v>
      </c>
      <c r="AN16">
        <v>0</v>
      </c>
      <c r="AT16">
        <v>50412.48</v>
      </c>
      <c r="AU16">
        <v>22948.5</v>
      </c>
      <c r="AV16">
        <v>0</v>
      </c>
      <c r="AW16">
        <v>0</v>
      </c>
      <c r="AX16">
        <v>0</v>
      </c>
      <c r="AY16">
        <v>2.6</v>
      </c>
      <c r="AZ16">
        <v>0.27</v>
      </c>
      <c r="BA16">
        <v>27461.38</v>
      </c>
      <c r="BB16">
        <v>0</v>
      </c>
      <c r="BC16">
        <v>65200.74</v>
      </c>
      <c r="BD16">
        <v>22853.58</v>
      </c>
      <c r="BE16">
        <v>0</v>
      </c>
      <c r="BF16">
        <v>1739.81</v>
      </c>
      <c r="BG16">
        <v>0</v>
      </c>
      <c r="BH16">
        <v>0</v>
      </c>
      <c r="BI16">
        <v>20824.32</v>
      </c>
      <c r="BJ16">
        <v>16817.03</v>
      </c>
      <c r="BK16">
        <v>88054.32</v>
      </c>
    </row>
    <row r="18" spans="1:10" ht="12.75">
      <c r="A18">
        <v>51</v>
      </c>
      <c r="E18">
        <v>0</v>
      </c>
      <c r="F18">
        <v>65.2</v>
      </c>
      <c r="G18">
        <v>0</v>
      </c>
      <c r="H18">
        <v>22.85</v>
      </c>
      <c r="I18">
        <v>88.05</v>
      </c>
      <c r="J18">
        <v>27.46</v>
      </c>
    </row>
    <row r="20" spans="1:15" ht="12.75">
      <c r="A20">
        <v>50</v>
      </c>
      <c r="B20">
        <v>0</v>
      </c>
      <c r="C20">
        <v>0</v>
      </c>
      <c r="D20">
        <v>1</v>
      </c>
      <c r="E20">
        <v>201</v>
      </c>
      <c r="F20">
        <v>50412.48</v>
      </c>
      <c r="G20" t="s">
        <v>61</v>
      </c>
      <c r="H20" t="s">
        <v>62</v>
      </c>
      <c r="K20">
        <v>201</v>
      </c>
      <c r="L20">
        <v>1</v>
      </c>
      <c r="M20">
        <v>3</v>
      </c>
      <c r="O20">
        <v>2</v>
      </c>
    </row>
    <row r="21" spans="1:15" ht="12.75">
      <c r="A21">
        <v>50</v>
      </c>
      <c r="B21">
        <v>0</v>
      </c>
      <c r="C21">
        <v>0</v>
      </c>
      <c r="D21">
        <v>1</v>
      </c>
      <c r="E21">
        <v>202</v>
      </c>
      <c r="F21">
        <v>22948.5</v>
      </c>
      <c r="G21" t="s">
        <v>63</v>
      </c>
      <c r="H21" t="s">
        <v>64</v>
      </c>
      <c r="K21">
        <v>202</v>
      </c>
      <c r="L21">
        <v>2</v>
      </c>
      <c r="M21">
        <v>3</v>
      </c>
      <c r="O21">
        <v>2</v>
      </c>
    </row>
    <row r="22" spans="1:15" ht="12.75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65</v>
      </c>
      <c r="H22" t="s">
        <v>66</v>
      </c>
      <c r="K22">
        <v>222</v>
      </c>
      <c r="L22">
        <v>3</v>
      </c>
      <c r="M22">
        <v>3</v>
      </c>
      <c r="O22">
        <v>2</v>
      </c>
    </row>
    <row r="23" spans="1:15" ht="12.75">
      <c r="A23">
        <v>50</v>
      </c>
      <c r="B23">
        <v>0</v>
      </c>
      <c r="C23">
        <v>0</v>
      </c>
      <c r="D23">
        <v>1</v>
      </c>
      <c r="E23">
        <v>216</v>
      </c>
      <c r="F23">
        <v>0</v>
      </c>
      <c r="G23" t="s">
        <v>67</v>
      </c>
      <c r="H23" t="s">
        <v>68</v>
      </c>
      <c r="K23">
        <v>216</v>
      </c>
      <c r="L23">
        <v>4</v>
      </c>
      <c r="M23">
        <v>3</v>
      </c>
      <c r="O23">
        <v>2</v>
      </c>
    </row>
    <row r="24" spans="1:15" ht="12.75">
      <c r="A24">
        <v>50</v>
      </c>
      <c r="B24">
        <v>0</v>
      </c>
      <c r="C24">
        <v>0</v>
      </c>
      <c r="D24">
        <v>1</v>
      </c>
      <c r="E24">
        <v>223</v>
      </c>
      <c r="F24">
        <v>0</v>
      </c>
      <c r="G24" t="s">
        <v>69</v>
      </c>
      <c r="H24" t="s">
        <v>70</v>
      </c>
      <c r="K24">
        <v>223</v>
      </c>
      <c r="L24">
        <v>5</v>
      </c>
      <c r="M24">
        <v>3</v>
      </c>
      <c r="O24">
        <v>2</v>
      </c>
    </row>
    <row r="25" spans="1:15" ht="12.75">
      <c r="A25">
        <v>50</v>
      </c>
      <c r="B25">
        <v>0</v>
      </c>
      <c r="C25">
        <v>0</v>
      </c>
      <c r="D25">
        <v>1</v>
      </c>
      <c r="E25">
        <v>203</v>
      </c>
      <c r="F25">
        <v>2.6</v>
      </c>
      <c r="G25" t="s">
        <v>71</v>
      </c>
      <c r="H25" t="s">
        <v>72</v>
      </c>
      <c r="K25">
        <v>203</v>
      </c>
      <c r="L25">
        <v>6</v>
      </c>
      <c r="M25">
        <v>3</v>
      </c>
      <c r="O25">
        <v>2</v>
      </c>
    </row>
    <row r="26" spans="1:15" ht="12.75">
      <c r="A26">
        <v>50</v>
      </c>
      <c r="B26">
        <v>0</v>
      </c>
      <c r="C26">
        <v>0</v>
      </c>
      <c r="D26">
        <v>1</v>
      </c>
      <c r="E26">
        <v>204</v>
      </c>
      <c r="F26">
        <v>0.27</v>
      </c>
      <c r="G26" t="s">
        <v>73</v>
      </c>
      <c r="H26" t="s">
        <v>74</v>
      </c>
      <c r="K26">
        <v>204</v>
      </c>
      <c r="L26">
        <v>7</v>
      </c>
      <c r="M26">
        <v>3</v>
      </c>
      <c r="O26">
        <v>2</v>
      </c>
    </row>
    <row r="27" spans="1:15" ht="12.75">
      <c r="A27">
        <v>50</v>
      </c>
      <c r="B27">
        <v>0</v>
      </c>
      <c r="C27">
        <v>0</v>
      </c>
      <c r="D27">
        <v>1</v>
      </c>
      <c r="E27">
        <v>205</v>
      </c>
      <c r="F27">
        <v>27461.38</v>
      </c>
      <c r="G27" t="s">
        <v>75</v>
      </c>
      <c r="H27" t="s">
        <v>76</v>
      </c>
      <c r="K27">
        <v>205</v>
      </c>
      <c r="L27">
        <v>8</v>
      </c>
      <c r="M27">
        <v>3</v>
      </c>
      <c r="O27">
        <v>2</v>
      </c>
    </row>
    <row r="28" spans="1:15" ht="12.75">
      <c r="A28">
        <v>50</v>
      </c>
      <c r="B28">
        <v>0</v>
      </c>
      <c r="C28">
        <v>0</v>
      </c>
      <c r="D28">
        <v>1</v>
      </c>
      <c r="E28">
        <v>214</v>
      </c>
      <c r="F28">
        <v>0</v>
      </c>
      <c r="G28" t="s">
        <v>77</v>
      </c>
      <c r="H28" t="s">
        <v>78</v>
      </c>
      <c r="K28">
        <v>214</v>
      </c>
      <c r="L28">
        <v>9</v>
      </c>
      <c r="M28">
        <v>3</v>
      </c>
      <c r="O28">
        <v>2</v>
      </c>
    </row>
    <row r="29" spans="1:15" ht="12.75">
      <c r="A29">
        <v>50</v>
      </c>
      <c r="B29">
        <v>0</v>
      </c>
      <c r="C29">
        <v>0</v>
      </c>
      <c r="D29">
        <v>1</v>
      </c>
      <c r="E29">
        <v>215</v>
      </c>
      <c r="F29">
        <v>65200.74</v>
      </c>
      <c r="G29" t="s">
        <v>79</v>
      </c>
      <c r="H29" t="s">
        <v>80</v>
      </c>
      <c r="K29">
        <v>215</v>
      </c>
      <c r="L29">
        <v>10</v>
      </c>
      <c r="M29">
        <v>3</v>
      </c>
      <c r="O29">
        <v>2</v>
      </c>
    </row>
    <row r="30" spans="1:15" ht="12.75">
      <c r="A30">
        <v>50</v>
      </c>
      <c r="B30">
        <v>0</v>
      </c>
      <c r="C30">
        <v>0</v>
      </c>
      <c r="D30">
        <v>1</v>
      </c>
      <c r="E30">
        <v>217</v>
      </c>
      <c r="F30">
        <v>22853.58</v>
      </c>
      <c r="G30" t="s">
        <v>81</v>
      </c>
      <c r="H30" t="s">
        <v>82</v>
      </c>
      <c r="K30">
        <v>217</v>
      </c>
      <c r="L30">
        <v>11</v>
      </c>
      <c r="M30">
        <v>3</v>
      </c>
      <c r="O30">
        <v>2</v>
      </c>
    </row>
    <row r="31" spans="1:15" ht="12.75">
      <c r="A31">
        <v>50</v>
      </c>
      <c r="B31">
        <v>0</v>
      </c>
      <c r="C31">
        <v>0</v>
      </c>
      <c r="D31">
        <v>1</v>
      </c>
      <c r="E31">
        <v>206</v>
      </c>
      <c r="F31">
        <v>0</v>
      </c>
      <c r="G31" t="s">
        <v>83</v>
      </c>
      <c r="H31" t="s">
        <v>84</v>
      </c>
      <c r="K31">
        <v>206</v>
      </c>
      <c r="L31">
        <v>12</v>
      </c>
      <c r="M31">
        <v>3</v>
      </c>
      <c r="O31">
        <v>2</v>
      </c>
    </row>
    <row r="32" spans="1:15" ht="12.75">
      <c r="A32">
        <v>50</v>
      </c>
      <c r="B32">
        <v>0</v>
      </c>
      <c r="C32">
        <v>0</v>
      </c>
      <c r="D32">
        <v>1</v>
      </c>
      <c r="E32">
        <v>207</v>
      </c>
      <c r="F32">
        <v>1739.81</v>
      </c>
      <c r="G32" t="s">
        <v>85</v>
      </c>
      <c r="H32" t="s">
        <v>86</v>
      </c>
      <c r="K32">
        <v>207</v>
      </c>
      <c r="L32">
        <v>13</v>
      </c>
      <c r="M32">
        <v>3</v>
      </c>
      <c r="O32">
        <v>2</v>
      </c>
    </row>
    <row r="33" spans="1:15" ht="12.75">
      <c r="A33">
        <v>50</v>
      </c>
      <c r="B33">
        <v>0</v>
      </c>
      <c r="C33">
        <v>0</v>
      </c>
      <c r="D33">
        <v>1</v>
      </c>
      <c r="E33">
        <v>208</v>
      </c>
      <c r="F33">
        <v>0</v>
      </c>
      <c r="G33" t="s">
        <v>87</v>
      </c>
      <c r="H33" t="s">
        <v>88</v>
      </c>
      <c r="K33">
        <v>208</v>
      </c>
      <c r="L33">
        <v>14</v>
      </c>
      <c r="M33">
        <v>3</v>
      </c>
      <c r="O33">
        <v>2</v>
      </c>
    </row>
    <row r="34" spans="1:15" ht="12.75">
      <c r="A34">
        <v>50</v>
      </c>
      <c r="B34">
        <v>0</v>
      </c>
      <c r="C34">
        <v>0</v>
      </c>
      <c r="D34">
        <v>1</v>
      </c>
      <c r="E34">
        <v>209</v>
      </c>
      <c r="F34">
        <v>0</v>
      </c>
      <c r="G34" t="s">
        <v>89</v>
      </c>
      <c r="H34" t="s">
        <v>90</v>
      </c>
      <c r="K34">
        <v>209</v>
      </c>
      <c r="L34">
        <v>15</v>
      </c>
      <c r="M34">
        <v>3</v>
      </c>
      <c r="O34">
        <v>2</v>
      </c>
    </row>
    <row r="35" spans="1:15" ht="12.75">
      <c r="A35">
        <v>50</v>
      </c>
      <c r="B35">
        <v>0</v>
      </c>
      <c r="C35">
        <v>0</v>
      </c>
      <c r="D35">
        <v>1</v>
      </c>
      <c r="E35">
        <v>210</v>
      </c>
      <c r="F35">
        <v>20824.32</v>
      </c>
      <c r="G35" t="s">
        <v>91</v>
      </c>
      <c r="H35" t="s">
        <v>92</v>
      </c>
      <c r="K35">
        <v>210</v>
      </c>
      <c r="L35">
        <v>16</v>
      </c>
      <c r="M35">
        <v>3</v>
      </c>
      <c r="O35">
        <v>2</v>
      </c>
    </row>
    <row r="36" spans="1:15" ht="12.75">
      <c r="A36">
        <v>50</v>
      </c>
      <c r="B36">
        <v>0</v>
      </c>
      <c r="C36">
        <v>0</v>
      </c>
      <c r="D36">
        <v>1</v>
      </c>
      <c r="E36">
        <v>211</v>
      </c>
      <c r="F36">
        <v>16817.03</v>
      </c>
      <c r="G36" t="s">
        <v>93</v>
      </c>
      <c r="H36" t="s">
        <v>94</v>
      </c>
      <c r="K36">
        <v>211</v>
      </c>
      <c r="L36">
        <v>17</v>
      </c>
      <c r="M36">
        <v>3</v>
      </c>
      <c r="O36">
        <v>2</v>
      </c>
    </row>
    <row r="37" spans="1:15" ht="12.75">
      <c r="A37">
        <v>50</v>
      </c>
      <c r="B37">
        <v>0</v>
      </c>
      <c r="C37">
        <v>0</v>
      </c>
      <c r="D37">
        <v>1</v>
      </c>
      <c r="E37">
        <v>224</v>
      </c>
      <c r="F37">
        <v>88054.32</v>
      </c>
      <c r="G37" t="s">
        <v>95</v>
      </c>
      <c r="H37" t="s">
        <v>96</v>
      </c>
      <c r="K37">
        <v>224</v>
      </c>
      <c r="L37">
        <v>18</v>
      </c>
      <c r="M37">
        <v>3</v>
      </c>
      <c r="O37">
        <v>2</v>
      </c>
    </row>
    <row r="39" ht="12.75">
      <c r="A39">
        <v>-1</v>
      </c>
    </row>
    <row r="42" spans="1:15" ht="12.75">
      <c r="A42">
        <v>75</v>
      </c>
      <c r="B42" t="s">
        <v>103</v>
      </c>
      <c r="C42">
        <v>2000</v>
      </c>
      <c r="D42">
        <v>0</v>
      </c>
      <c r="E42">
        <v>1</v>
      </c>
      <c r="F42">
        <v>1</v>
      </c>
      <c r="G42">
        <v>0</v>
      </c>
      <c r="H42">
        <v>2</v>
      </c>
      <c r="I42">
        <v>1</v>
      </c>
      <c r="J42">
        <v>1</v>
      </c>
      <c r="K42">
        <v>94</v>
      </c>
      <c r="L42">
        <v>86</v>
      </c>
      <c r="M42">
        <v>0</v>
      </c>
      <c r="N42">
        <v>22534332</v>
      </c>
      <c r="O42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Варламовы</cp:lastModifiedBy>
  <dcterms:modified xsi:type="dcterms:W3CDTF">2013-08-05T07:28:07Z</dcterms:modified>
  <cp:category/>
  <cp:version/>
  <cp:contentType/>
  <cp:contentStatus/>
</cp:coreProperties>
</file>