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080" activeTab="0"/>
  </bookViews>
  <sheets>
    <sheet name="Смета по ТСН-2001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ТСН-2001'!$23:$23</definedName>
    <definedName name="_xlnm.Print_Area" localSheetId="0">'Смета по ТСН-2001'!$A$1:$K$96</definedName>
  </definedNames>
  <calcPr fullCalcOnLoad="1"/>
</workbook>
</file>

<file path=xl/sharedStrings.xml><?xml version="1.0" encoding="utf-8"?>
<sst xmlns="http://schemas.openxmlformats.org/spreadsheetml/2006/main" count="1271" uniqueCount="211">
  <si>
    <t>Smeta.RU  (495) 974-1589</t>
  </si>
  <si>
    <t>_PS_</t>
  </si>
  <si>
    <t>Smeta.RU</t>
  </si>
  <si>
    <t/>
  </si>
  <si>
    <t>ДОМ №3 (ТСН-2001. ТЕРРИТОРИАЛЬНЫЕ СМЕТНЫЕ НОРМАТИВЫ ДЛЯ МОСК</t>
  </si>
  <si>
    <t>ДОМ №3 Смета на ремонт окон</t>
  </si>
  <si>
    <t>Сметные нормы списания</t>
  </si>
  <si>
    <t>Коды ОКП для ТСН-2001</t>
  </si>
  <si>
    <t>ТСН 2001- Новое строительство</t>
  </si>
  <si>
    <t>Типовой расчет для ТСН-2001 (Строительство) [ДОМ №3 Смета на ремонт окон]</t>
  </si>
  <si>
    <t>ТСН-2001</t>
  </si>
  <si>
    <t>Поправки для ТСН-2001</t>
  </si>
  <si>
    <t>ОКНА</t>
  </si>
  <si>
    <t>1</t>
  </si>
  <si>
    <t>3.15-57-1</t>
  </si>
  <si>
    <t>ШТУКАТУРКА ПОВЕРХНОСТЕЙ ОКОННЫХ И ДВЕРНЫХ ОТКОСОВ ПО БЕТОНУ И КАМНЮ ПЛОСКИХ</t>
  </si>
  <si>
    <t>100 м2</t>
  </si>
  <si>
    <t>ТСН-2001.3. База. Сб.15, т.57, поз.1</t>
  </si>
  <si>
    <t>)*1.25</t>
  </si>
  <si>
    <t>)*1.15</t>
  </si>
  <si>
    <t>Строительные работы</t>
  </si>
  <si>
    <t>ТСН-2001.3-15. 15-51...15-81</t>
  </si>
  <si>
    <t>ТСН-2001.3-15-7</t>
  </si>
  <si>
    <t>1,1</t>
  </si>
  <si>
    <t>1.1-1-118</t>
  </si>
  <si>
    <t>ВОДА</t>
  </si>
  <si>
    <t>м3</t>
  </si>
  <si>
    <t>ТСН-2001.1. База. Р.1, о.1, поз.118</t>
  </si>
  <si>
    <t>1,2</t>
  </si>
  <si>
    <t>1.3-2-26</t>
  </si>
  <si>
    <t>СМЕСИ СУХИЕ ШТУКАТУРНЫЕ ЦЕМЕНТНО-ПЕСЧАНЫЕ ДЛЯ ВНУТРЕННИХ И НАРУЖНЫХ РАБОТ, МАРКА 150 (БИРСС 12), УЛУЧШЕННЫЕ С ИМПОРТНЫМИ ДОБАВКАМИ</t>
  </si>
  <si>
    <t>т</t>
  </si>
  <si>
    <t>ТСН-2001.1. База. Р.3, о.2, поз.26</t>
  </si>
  <si>
    <t>1,3</t>
  </si>
  <si>
    <t>1.3-2-12</t>
  </si>
  <si>
    <t>РАСТВОРЫ ЦЕМЕНТНО-ИЗВЕСТКОВЫЕ, МАРКА 50</t>
  </si>
  <si>
    <t>ТСН-2001.1. База. Р.3, о.2, поз.12</t>
  </si>
  <si>
    <t>1,4</t>
  </si>
  <si>
    <t>1.3-2-11</t>
  </si>
  <si>
    <t>РАСТВОРЫ ЦЕМЕНТНО-ИЗВЕСТКОВЫЕ, МАРКА 25</t>
  </si>
  <si>
    <t>ТСН-2001.1. База. Р.3, о.2, поз.11</t>
  </si>
  <si>
    <t>2</t>
  </si>
  <si>
    <t>6.52-21-2</t>
  </si>
  <si>
    <t>ЗАДЕЛКА ТЕКУЩИХ ШВОВ, ТРЕЩИН И ОТВЕРСТИЙ В ЖЕЛЕЗОБЕТОННЫХ КОНСТРУКЦИЯХ БЫСТРОТВЕРДЕЮЩИМ ГИДРОИЗОЛЯЦИОННЫМ СОСТАВОМ "ТАМ СТОП 70"</t>
  </si>
  <si>
    <t>м</t>
  </si>
  <si>
    <t>ТСН-2001.6. База. Сб.52, т.21, поз.2</t>
  </si>
  <si>
    <t>)*1.2</t>
  </si>
  <si>
    <t>Ремонтно-строительные работы</t>
  </si>
  <si>
    <t>ТСН-2001.6-52. 52-16...52-32</t>
  </si>
  <si>
    <t>ТСН-2001.6-52-12</t>
  </si>
  <si>
    <t>3</t>
  </si>
  <si>
    <t>6.61-7-1</t>
  </si>
  <si>
    <t>РЕМОНТ ШТУКАТУРКИ ОТКОСОВ ВНУТРИ ЗДАНИЯ ПО КАМНЮ И БЕТОНУ ЦЕМЕНТНО-ИЗВЕСТКОВЫМ РАСТВОРОМ ПРЯМОЛИНЕЙНЫХ ПОВЕРХНОСТЕЙ</t>
  </si>
  <si>
    <t>ТСН-2001.6. База. Сб.61, т.7, поз.1</t>
  </si>
  <si>
    <t>ТСН-2001.6-61. 61-1...61-9</t>
  </si>
  <si>
    <t>ТСН-2001.6-61-1</t>
  </si>
  <si>
    <t>3,1</t>
  </si>
  <si>
    <t>4</t>
  </si>
  <si>
    <t>3.15-97-5</t>
  </si>
  <si>
    <t>ПРОСТАЯ ОКРАСКА КОЛЕРОМ МАСЛЯНЫМ РАЗБЕЛЕННЫМ ПО ДЕРЕВУ ЗАПОЛНЕНИЙ ОКОННЫХ ПРОЕМОВ</t>
  </si>
  <si>
    <t>ТСН-2001.3. База. Сб.15, т.97, поз.5</t>
  </si>
  <si>
    <t>)*1.25)</t>
  </si>
  <si>
    <t>ТСН-2001.3-15. 15-91-3, 15-91-4, 15-92...15-115</t>
  </si>
  <si>
    <t>ТСН-2001.3-15-9</t>
  </si>
  <si>
    <t>4,1</t>
  </si>
  <si>
    <t>1.1-1-464</t>
  </si>
  <si>
    <t>КРАСКИ МАСЛЯНЫЕ ЖИДКОТЕРТЫЕ ЦВЕТНЫЕ (ГОТОВЫЕ К УПОТРЕБЛЕНИЮ) ДЛЯ НАРУЖНЫХ И ВНУТРЕННИХ РАБОТ, МАРКА "АРМАФИНИШ"</t>
  </si>
  <si>
    <t>л</t>
  </si>
  <si>
    <t>2317221001</t>
  </si>
  <si>
    <t>4,2</t>
  </si>
  <si>
    <t>1.1-1-732</t>
  </si>
  <si>
    <t>ОЛИФА ДЛЯ ОКРАСКИ КОМБИНИРОВАННАЯ "ОКСОЛЬ"</t>
  </si>
  <si>
    <t>кг</t>
  </si>
  <si>
    <t>ТСН-2001.1. База. Р.1, о.1, поз.732</t>
  </si>
  <si>
    <t>5</t>
  </si>
  <si>
    <t>6.62-9-1</t>
  </si>
  <si>
    <t>УЛУЧШЕННАЯ МАСЛЯНАЯ ОКРАСКА ОКОН РАЗБЕЛЕННЫМ КОЛЕРОМ С РАСЧИСТКОЙ СТАРОЙ КРАСКИ ДО 10 %</t>
  </si>
  <si>
    <t>ТСН-2001.6. База. Сб.62, т.9, поз.1</t>
  </si>
  <si>
    <t>ТСН-2001.6-62. 62-0...62-16</t>
  </si>
  <si>
    <t>ТСН-2001.6-62-1</t>
  </si>
  <si>
    <t>6</t>
  </si>
  <si>
    <t>3.15-99-7</t>
  </si>
  <si>
    <t>УЛУЧШЕННАЯ ОКРАСКА КОЛЕРОМ МАСЛЯНЫМ РАЗБЕЛЕННЫМ ПО ДЕРЕВУ ОКОННЫХ БЛОКОВ, ПОДГОТОВЛЕННЫХ ПОД ВТОРУЮ ОКРАСКУ</t>
  </si>
  <si>
    <t>ТСН-2001.3. База. Сб.15, т.99, поз.7</t>
  </si>
  <si>
    <t>6,1</t>
  </si>
  <si>
    <t>1.1-1-1487</t>
  </si>
  <si>
    <t>ШПАТЛЕВКА МАСЛЯНО-КЛЕЕВАЯ УНИВЕРСАЛЬНАЯ</t>
  </si>
  <si>
    <t>ТСН-2001.1. База. Р.1, о.1, поз.1487</t>
  </si>
  <si>
    <t>6,2</t>
  </si>
  <si>
    <t>1.1-1-463</t>
  </si>
  <si>
    <t>КРАСКИ МАСЛЯНЫЕ ЖИДКОТЕРТЫЕ ЦВЕТНЫЕ (ГОТОВЫЕ К УПОТРЕБЛЕНИЮ) ДЛЯ НАРУЖНЫХ И ВНУТРЕННИХ РАБОТ, МАРКА МА-25</t>
  </si>
  <si>
    <t>ТСН-2001.1. База. Р.1, о.1, поз.463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</si>
  <si>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</si>
  <si>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</si>
  <si>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</si>
  <si>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</si>
  <si>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</si>
  <si>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</si>
  <si>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</si>
  <si>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</si>
  <si>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ОборудЗак</t>
  </si>
  <si>
    <t>Стоимость оборудования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</si>
  <si>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</si>
  <si>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</si>
  <si>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</si>
  <si>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</si>
  <si>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</si>
  <si>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</si>
  <si>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</si>
  <si>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</si>
  <si>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</si>
  <si>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</si>
  <si>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</si>
  <si>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</si>
  <si>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</si>
  <si>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</si>
  <si>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</si>
  <si>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</si>
  <si>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</si>
  <si>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</si>
  <si>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</si>
  <si>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</si>
  <si>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</si>
  <si>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</si>
  <si>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</si>
  <si>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</si>
  <si>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</si>
  <si>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</si>
  <si>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Уровень цен</t>
  </si>
  <si>
    <t>_OBSM_</t>
  </si>
  <si>
    <t>9999990008</t>
  </si>
  <si>
    <t>ТРУДОЗАТРАТЫ РАБОЧИХ (ЭСН)</t>
  </si>
  <si>
    <t>чел.-ч.</t>
  </si>
  <si>
    <t>2.0-0-0</t>
  </si>
  <si>
    <t>9999990007</t>
  </si>
  <si>
    <t>СТОИМОСТЬ ПРОЧИХ МАШИН (ЭСН)</t>
  </si>
  <si>
    <t>руб.</t>
  </si>
  <si>
    <t>1.0-0-0</t>
  </si>
  <si>
    <t>9999990006</t>
  </si>
  <si>
    <t>СТОИМОСТЬ ПРОЧИХ МАТЕРИАЛОВ (ЭСН)</t>
  </si>
  <si>
    <t>2.1-30-10</t>
  </si>
  <si>
    <t>ТСН-2001.2. База. п.1-30-10 (304101)</t>
  </si>
  <si>
    <t>ПЕРФОРАТОРЫ</t>
  </si>
  <si>
    <t>маш.-ч</t>
  </si>
  <si>
    <t>1.3-2-56</t>
  </si>
  <si>
    <t>ТСН-2001.1. База. Р.3, о.2, поз.56</t>
  </si>
  <si>
    <t>СМЕСИ СУХИЕ ГИДРОИЗОЛЯЦИОННЫЕ, МАРКА "ТАМ СТОП 70" (ФИРМА "TAM INTERNATIONAL")</t>
  </si>
  <si>
    <t>9999990001</t>
  </si>
  <si>
    <t>МАССА МУСОРА</t>
  </si>
  <si>
    <t>2312940000</t>
  </si>
  <si>
    <t>ШПАТЛЕВКА УНИВЕРСАЛЬНАЯ</t>
  </si>
  <si>
    <t>0131000000</t>
  </si>
  <si>
    <t>5745120000</t>
  </si>
  <si>
    <t>СМЕСИ СУХИЕ ДЛЯ ШТУКАТУРНЫХ РАБОТ</t>
  </si>
  <si>
    <t>5745520000</t>
  </si>
  <si>
    <t>РАСТВОРЫ ТЯЖЕЛЫЕ ЦЕМЕНТНО-ИЗВЕСТКОВЫЕ МАРКИ 75</t>
  </si>
  <si>
    <t>РАСТВОРЫ ИЗВЕСТКОВЫЕ МАРКИ 4</t>
  </si>
  <si>
    <t>304101</t>
  </si>
  <si>
    <t>0131000001</t>
  </si>
  <si>
    <t>5745180009</t>
  </si>
  <si>
    <t>РАСТВОР ЦЕМЕНТНО-ИЗВЕСТКОВЫЙ МАРКИ 75</t>
  </si>
  <si>
    <t>2317220000</t>
  </si>
  <si>
    <t>КРАСКИ МАСЛЯНЫЕ (ГОТОВЫЕ К УПОТРЕБЛЕНИЮ)</t>
  </si>
  <si>
    <t>2318320000</t>
  </si>
  <si>
    <t>ОЛИФА КОМБИНИРОВАННАЯ (ОКСОЛЬ)</t>
  </si>
  <si>
    <t>2312940002</t>
  </si>
  <si>
    <t>2317220005</t>
  </si>
  <si>
    <t>2318320002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</si>
  <si>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</si>
  <si>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</si>
  <si>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</si>
  <si>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</si>
  <si>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</si>
  <si>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</si>
  <si>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</si>
  <si>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тыс.руб</t>
  </si>
  <si>
    <t>Монтажные работы</t>
  </si>
  <si>
    <t>Оборудование</t>
  </si>
  <si>
    <t>Прочие работы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</si>
  <si>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</si>
  <si>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</si>
  <si>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</si>
  <si>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</si>
  <si>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</si>
  <si>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</si>
  <si>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</si>
  <si>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</si>
  <si>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</si>
  <si>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</si>
  <si>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</si>
  <si>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</si>
  <si>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Форма № 1б</t>
  </si>
  <si>
    <t xml:space="preserve"> </t>
  </si>
  <si>
    <t>ЛОКАЛЬНАЯ СМЕТА № ОКНА</t>
  </si>
  <si>
    <t xml:space="preserve">Основание: чертежи № </t>
  </si>
  <si>
    <t xml:space="preserve">Составлен(а) в уровне текущих (прогнозных) цен Январь 2000 года </t>
  </si>
  <si>
    <t>ЗП</t>
  </si>
  <si>
    <t>ЭМ</t>
  </si>
  <si>
    <t>в т.ч. ЗПМ</t>
  </si>
  <si>
    <t>МР</t>
  </si>
  <si>
    <t>НР и СП от ЗПМ</t>
  </si>
  <si>
    <t>%</t>
  </si>
  <si>
    <t>ЗТР</t>
  </si>
  <si>
    <t>чел-ч</t>
  </si>
  <si>
    <t>НР от ЗП</t>
  </si>
  <si>
    <t>СП от ЗП</t>
  </si>
  <si>
    <t>Итого по локальной смете: ОКНА</t>
  </si>
  <si>
    <t>Итого по смете: ДОМ №3 Смета на ремонт окон</t>
  </si>
  <si>
    <t xml:space="preserve">Составил   </t>
  </si>
  <si>
    <t>[должность,подпись(инициалы,фамилия)]</t>
  </si>
  <si>
    <t xml:space="preserve">Проверил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</si>
</sst>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#,##0.00####;[Red]\-\ #,##0.00#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172" fontId="27" fillId="0" borderId="0" xfId="0" applyNumberFormat="1" applyFont="1" applyAlignment="1">
      <alignment/>
    </xf>
    <xf numFmtId="173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174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31" fillId="0" borderId="0" xfId="0" applyNumberFormat="1" applyFont="1" applyAlignment="1">
      <alignment horizontal="right"/>
    </xf>
    <xf numFmtId="0" fontId="27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right" wrapText="1"/>
    </xf>
    <xf numFmtId="0" fontId="27" fillId="0" borderId="10" xfId="0" applyFont="1" applyBorder="1" applyAlignment="1">
      <alignment horizontal="right"/>
    </xf>
    <xf numFmtId="17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 wrapText="1"/>
    </xf>
    <xf numFmtId="172" fontId="27" fillId="0" borderId="10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27" fillId="0" borderId="0" xfId="0" applyFont="1" applyAlignment="1">
      <alignment horizontal="right" vertical="center"/>
    </xf>
    <xf numFmtId="0" fontId="27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="112" zoomScaleNormal="112" zoomScalePageLayoutView="0" workbookViewId="0" topLeftCell="A1">
      <selection activeCell="C1" sqref="C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26.7109375" style="0" customWidth="1"/>
    <col min="4" max="7" width="11.7109375" style="0" customWidth="1"/>
    <col min="8" max="8" width="10.7109375" style="0" customWidth="1"/>
    <col min="9" max="11" width="12.7109375" style="0" customWidth="1"/>
    <col min="15" max="27" width="0" style="0" hidden="1" customWidth="1"/>
    <col min="28" max="28" width="86.7109375" style="0" hidden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5" t="s">
        <v>191</v>
      </c>
    </row>
    <row r="2" spans="1:28" ht="18.75">
      <c r="A2" s="7" t="str">
        <f>IF(Source!G4&lt;&gt;"",Source!G4,IF(Source!F4&lt;&gt;"",Source!F4,IF(Source!G5&lt;&gt;"",Source!G5,IF(Source!F5&lt;&gt;"",Source!F5,IF(Source!G6&lt;&gt;"",Source!G6,IF(Source!F6&lt;&gt;"",Source!F6," "))))))</f>
        <v> </v>
      </c>
      <c r="B2" s="7"/>
      <c r="C2" s="7"/>
      <c r="D2" s="7"/>
      <c r="E2" s="7"/>
      <c r="F2" s="7"/>
      <c r="G2" s="7"/>
      <c r="H2" s="7"/>
      <c r="I2" s="7"/>
      <c r="J2" s="7"/>
      <c r="K2" s="7"/>
      <c r="AB2" s="22" t="s">
        <v>192</v>
      </c>
    </row>
    <row r="3" spans="1:11" ht="12.75">
      <c r="A3" s="8" t="s">
        <v>168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8" ht="18.75">
      <c r="A5" s="10" t="str">
        <f>CONCATENATE("ЛОКАЛЬНАЯ СМЕТА № ",Source!F20)</f>
        <v>ЛОКАЛЬНАЯ СМЕТА № ОКНА</v>
      </c>
      <c r="B5" s="11"/>
      <c r="C5" s="11"/>
      <c r="D5" s="11"/>
      <c r="E5" s="11"/>
      <c r="F5" s="11"/>
      <c r="G5" s="11"/>
      <c r="H5" s="11"/>
      <c r="I5" s="11"/>
      <c r="J5" s="11"/>
      <c r="K5" s="11"/>
      <c r="AB5" s="23" t="s">
        <v>193</v>
      </c>
    </row>
    <row r="6" spans="1:11" ht="12.75">
      <c r="A6" s="12" t="s">
        <v>169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8" ht="18.75">
      <c r="A8" s="10" t="str">
        <f>Source!G20</f>
        <v>ОКНА</v>
      </c>
      <c r="B8" s="11"/>
      <c r="C8" s="11"/>
      <c r="D8" s="11"/>
      <c r="E8" s="11"/>
      <c r="F8" s="11"/>
      <c r="G8" s="11"/>
      <c r="H8" s="11"/>
      <c r="I8" s="11"/>
      <c r="J8" s="11"/>
      <c r="K8" s="11"/>
      <c r="AB8" s="23" t="s">
        <v>12</v>
      </c>
    </row>
    <row r="9" spans="1:1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28" ht="18.75">
      <c r="A10" s="9" t="s">
        <v>170</v>
      </c>
      <c r="B10" s="13" t="str">
        <f>Source!G12</f>
        <v>ДОМ №3 Смета на ремонт окон</v>
      </c>
      <c r="C10" s="13"/>
      <c r="D10" s="13"/>
      <c r="E10" s="13"/>
      <c r="F10" s="13"/>
      <c r="G10" s="13"/>
      <c r="H10" s="13"/>
      <c r="I10" s="13"/>
      <c r="J10" s="13"/>
      <c r="K10" s="13"/>
      <c r="AB10" s="24" t="s">
        <v>5</v>
      </c>
    </row>
    <row r="11" spans="1:11" ht="15.75">
      <c r="A11" s="9"/>
      <c r="B11" s="12" t="s">
        <v>171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28" ht="15.75">
      <c r="A13" s="14" t="str">
        <f>CONCATENATE("Основание: чертежи № ",Source!J20)</f>
        <v>Основание: чертежи № 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AB13" s="25" t="s">
        <v>194</v>
      </c>
    </row>
    <row r="14" spans="1:11" ht="31.5">
      <c r="A14" s="9"/>
      <c r="B14" s="9"/>
      <c r="C14" s="9"/>
      <c r="D14" s="9"/>
      <c r="E14" s="9"/>
      <c r="F14" s="9"/>
      <c r="G14" s="9"/>
      <c r="H14" s="9"/>
      <c r="I14" s="15" t="s">
        <v>172</v>
      </c>
      <c r="J14" s="15" t="s">
        <v>173</v>
      </c>
      <c r="K14" s="9"/>
    </row>
    <row r="15" spans="1:11" ht="15.75">
      <c r="A15" s="9"/>
      <c r="B15" s="9"/>
      <c r="C15" s="9"/>
      <c r="D15" s="9"/>
      <c r="E15" s="9"/>
      <c r="F15" s="16" t="s">
        <v>174</v>
      </c>
      <c r="G15" s="16"/>
      <c r="H15" s="16"/>
      <c r="I15" s="17">
        <f>SUM(O24:O86)/1000</f>
        <v>3.0425500000000003</v>
      </c>
      <c r="J15" s="17">
        <f>(Source!AR40)/1000</f>
        <v>3.00523</v>
      </c>
      <c r="K15" s="9" t="s">
        <v>175</v>
      </c>
    </row>
    <row r="16" spans="1:11" ht="15.75">
      <c r="A16" s="9"/>
      <c r="B16" s="9"/>
      <c r="C16" s="9"/>
      <c r="D16" s="9"/>
      <c r="E16" s="9"/>
      <c r="F16" s="16" t="s">
        <v>20</v>
      </c>
      <c r="G16" s="16"/>
      <c r="H16" s="16"/>
      <c r="I16" s="17">
        <f>SUM(X24:X86)/1000</f>
        <v>3.0425500000000003</v>
      </c>
      <c r="J16" s="17">
        <f>(Source!F50)/1000</f>
        <v>3.00523</v>
      </c>
      <c r="K16" s="9" t="s">
        <v>175</v>
      </c>
    </row>
    <row r="17" spans="1:11" ht="15.75">
      <c r="A17" s="9"/>
      <c r="B17" s="9"/>
      <c r="C17" s="9"/>
      <c r="D17" s="9"/>
      <c r="E17" s="9"/>
      <c r="F17" s="16" t="s">
        <v>176</v>
      </c>
      <c r="G17" s="16"/>
      <c r="H17" s="16"/>
      <c r="I17" s="17">
        <f>SUM(Y24:Y86)/1000</f>
        <v>0</v>
      </c>
      <c r="J17" s="17">
        <f>(Source!F51)/1000</f>
        <v>0</v>
      </c>
      <c r="K17" s="9" t="s">
        <v>175</v>
      </c>
    </row>
    <row r="18" spans="1:11" ht="15.75">
      <c r="A18" s="9"/>
      <c r="B18" s="9"/>
      <c r="C18" s="9"/>
      <c r="D18" s="9"/>
      <c r="E18" s="9"/>
      <c r="F18" s="16" t="s">
        <v>177</v>
      </c>
      <c r="G18" s="16"/>
      <c r="H18" s="16"/>
      <c r="I18" s="17">
        <f>SUM(Z24:Z86)/1000</f>
        <v>0</v>
      </c>
      <c r="J18" s="17">
        <f>(Source!F45)/1000</f>
        <v>0</v>
      </c>
      <c r="K18" s="9" t="s">
        <v>175</v>
      </c>
    </row>
    <row r="19" spans="1:11" ht="15.75">
      <c r="A19" s="9"/>
      <c r="B19" s="9"/>
      <c r="C19" s="9"/>
      <c r="D19" s="9"/>
      <c r="E19" s="9"/>
      <c r="F19" s="16" t="s">
        <v>178</v>
      </c>
      <c r="G19" s="16"/>
      <c r="H19" s="16"/>
      <c r="I19" s="17">
        <f>SUM(AA24:AA86)/1000</f>
        <v>0</v>
      </c>
      <c r="J19" s="17">
        <f>(Source!F52)/1000</f>
        <v>0</v>
      </c>
      <c r="K19" s="9" t="s">
        <v>175</v>
      </c>
    </row>
    <row r="20" spans="1:11" ht="15.75">
      <c r="A20" s="9"/>
      <c r="B20" s="9"/>
      <c r="C20" s="9"/>
      <c r="D20" s="9"/>
      <c r="E20" s="9"/>
      <c r="F20" s="16" t="s">
        <v>179</v>
      </c>
      <c r="G20" s="16"/>
      <c r="H20" s="16"/>
      <c r="I20" s="17">
        <f>SUM(W24:W86)/1000</f>
        <v>0.83156</v>
      </c>
      <c r="J20" s="17">
        <f>((Source!F49+Source!F48)/1000)</f>
        <v>0.8315600000000001</v>
      </c>
      <c r="K20" s="9" t="s">
        <v>175</v>
      </c>
    </row>
    <row r="21" spans="1:11" ht="15.75">
      <c r="A21" s="9" t="s">
        <v>195</v>
      </c>
      <c r="B21" s="9"/>
      <c r="C21" s="9"/>
      <c r="D21" s="18"/>
      <c r="E21" s="19"/>
      <c r="F21" s="9"/>
      <c r="G21" s="9"/>
      <c r="H21" s="9"/>
      <c r="I21" s="9"/>
      <c r="J21" s="9"/>
      <c r="K21" s="9"/>
    </row>
    <row r="22" spans="1:11" ht="63">
      <c r="A22" s="20" t="s">
        <v>180</v>
      </c>
      <c r="B22" s="20" t="s">
        <v>181</v>
      </c>
      <c r="C22" s="20" t="s">
        <v>182</v>
      </c>
      <c r="D22" s="20" t="s">
        <v>183</v>
      </c>
      <c r="E22" s="20" t="s">
        <v>184</v>
      </c>
      <c r="F22" s="20" t="s">
        <v>185</v>
      </c>
      <c r="G22" s="21" t="s">
        <v>186</v>
      </c>
      <c r="H22" s="21" t="s">
        <v>187</v>
      </c>
      <c r="I22" s="20" t="s">
        <v>188</v>
      </c>
      <c r="J22" s="20" t="s">
        <v>189</v>
      </c>
      <c r="K22" s="20" t="s">
        <v>190</v>
      </c>
    </row>
    <row r="23" spans="1:11" ht="15.75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  <c r="G23" s="20">
        <v>7</v>
      </c>
      <c r="H23" s="20">
        <v>8</v>
      </c>
      <c r="I23" s="20">
        <v>9</v>
      </c>
      <c r="J23" s="20">
        <v>10</v>
      </c>
      <c r="K23" s="20">
        <v>11</v>
      </c>
    </row>
    <row r="24" spans="1:22" ht="78.75">
      <c r="A24" s="26" t="str">
        <f>Source!E24</f>
        <v>1</v>
      </c>
      <c r="B24" s="27" t="str">
        <f>Source!F24</f>
        <v>3.15-57-1</v>
      </c>
      <c r="C24" s="25" t="str">
        <f>Source!G24</f>
        <v>ШТУКАТУРКА ПОВЕРХНОСТЕЙ ОКОННЫХ И ДВЕРНЫХ ОТКОСОВ ПО БЕТОНУ И КАМНЮ ПЛОСКИХ</v>
      </c>
      <c r="D24" s="29" t="str">
        <f>Source!H24</f>
        <v>100 м2</v>
      </c>
      <c r="E24" s="28">
        <f>ROUND(Source!I24,6)</f>
        <v>0.0324</v>
      </c>
      <c r="F24" s="31"/>
      <c r="G24" s="30"/>
      <c r="H24" s="28"/>
      <c r="I24" s="32"/>
      <c r="J24" s="28"/>
      <c r="K24" s="32"/>
      <c r="Q24">
        <f>ROUND((Source!DN24/100)*ROUND(Source!CT24*Source!I24/IF(Source!BA24&lt;&gt;0,Source!BA24,1),2),2)</f>
        <v>102.47</v>
      </c>
      <c r="R24">
        <f>Source!X24</f>
        <v>0</v>
      </c>
      <c r="S24">
        <f>ROUND((Source!DO24/100)*ROUND(Source!CT24*Source!I24/IF(Source!BA24&lt;&gt;0,Source!BA24,1),2),2)</f>
        <v>71.73</v>
      </c>
      <c r="T24">
        <f>Source!Y24</f>
        <v>0</v>
      </c>
      <c r="U24">
        <f>ROUND((175/100)*ROUND(Source!CS24*Source!I24/IF(Source!BS24&lt;&gt;0,Source!BS24,1),2),2)</f>
        <v>1.49</v>
      </c>
      <c r="V24">
        <f>ROUND((180/100)*ROUND(Source!CS24*Source!I24,2),2)</f>
        <v>1.53</v>
      </c>
    </row>
    <row r="25" spans="1:23" ht="15.75">
      <c r="A25" s="26"/>
      <c r="B25" s="27"/>
      <c r="C25" s="25" t="s">
        <v>196</v>
      </c>
      <c r="D25" s="29"/>
      <c r="E25" s="28"/>
      <c r="F25" s="31">
        <f>Source!AO24</f>
        <v>2235.71</v>
      </c>
      <c r="G25" s="30" t="str">
        <f>Source!DG24</f>
        <v>)*1.15</v>
      </c>
      <c r="H25" s="28">
        <f>Source!AV24</f>
        <v>1.025</v>
      </c>
      <c r="I25" s="32">
        <f>ROUND(Source!CT24*Source!I24/IF(Source!BA24&lt;&gt;0,Source!BA24,1),2)</f>
        <v>85.39</v>
      </c>
      <c r="J25" s="28">
        <f>IF(Source!BA24&lt;&gt;0,Source!BA24,1)</f>
        <v>1</v>
      </c>
      <c r="K25" s="32">
        <f>Source!S24</f>
        <v>85.39</v>
      </c>
      <c r="W25">
        <f>ROUND(Source!CT24*Source!I24/IF(Source!BA24&lt;&gt;0,Source!BA24,1),2)</f>
        <v>85.39</v>
      </c>
    </row>
    <row r="26" spans="1:11" ht="15.75">
      <c r="A26" s="26"/>
      <c r="B26" s="27"/>
      <c r="C26" s="25" t="s">
        <v>197</v>
      </c>
      <c r="D26" s="29"/>
      <c r="E26" s="28"/>
      <c r="F26" s="31">
        <f>Source!AM24</f>
        <v>87.09</v>
      </c>
      <c r="G26" s="30" t="str">
        <f>Source!DE24</f>
        <v>)*1.25</v>
      </c>
      <c r="H26" s="28">
        <f>Source!AV24</f>
        <v>1.025</v>
      </c>
      <c r="I26" s="32">
        <f>ROUND(Source!CR24*Source!I24/IF(Source!BB24&lt;&gt;0,Source!BB24,1),2)</f>
        <v>3.62</v>
      </c>
      <c r="J26" s="28">
        <f>IF(Source!BB24&lt;&gt;0,Source!BB24,1)</f>
        <v>1</v>
      </c>
      <c r="K26" s="32">
        <f>Source!Q24</f>
        <v>3.62</v>
      </c>
    </row>
    <row r="27" spans="1:23" ht="15.75">
      <c r="A27" s="26"/>
      <c r="B27" s="27"/>
      <c r="C27" s="25" t="s">
        <v>198</v>
      </c>
      <c r="D27" s="29"/>
      <c r="E27" s="28"/>
      <c r="F27" s="31">
        <f>Source!AN24</f>
        <v>20.58</v>
      </c>
      <c r="G27" s="30" t="str">
        <f>Source!DF24</f>
        <v>)*1.25</v>
      </c>
      <c r="H27" s="28">
        <f>Source!AV24</f>
        <v>1.025</v>
      </c>
      <c r="I27" s="32">
        <f>ROUND(Source!CS24*Source!I24/IF(Source!BS24&lt;&gt;0,Source!BS24,1),2)</f>
        <v>0.85</v>
      </c>
      <c r="J27" s="28">
        <f>IF(Source!BS24&lt;&gt;0,Source!BS24,1)</f>
        <v>1</v>
      </c>
      <c r="K27" s="32">
        <f>Source!R24</f>
        <v>0.85</v>
      </c>
      <c r="W27">
        <f>ROUND(Source!CS24*Source!I24/IF(Source!BS24&lt;&gt;0,Source!BS24,1),2)</f>
        <v>0.85</v>
      </c>
    </row>
    <row r="28" spans="1:11" ht="15.75">
      <c r="A28" s="26"/>
      <c r="B28" s="27"/>
      <c r="C28" s="25" t="s">
        <v>199</v>
      </c>
      <c r="D28" s="29"/>
      <c r="E28" s="28"/>
      <c r="F28" s="31">
        <f>Source!AL24</f>
        <v>0.71</v>
      </c>
      <c r="G28" s="30">
        <f>Source!DD24</f>
      </c>
      <c r="H28" s="28">
        <f>Source!AW24</f>
        <v>1</v>
      </c>
      <c r="I28" s="32">
        <f>ROUND(Source!CQ24*Source!I24/IF(Source!BC24&lt;&gt;0,Source!BC24,1),2)</f>
        <v>0.02</v>
      </c>
      <c r="J28" s="28">
        <f>IF(Source!BC24&lt;&gt;0,Source!BC24,1)</f>
        <v>1</v>
      </c>
      <c r="K28" s="32">
        <f>Source!P24</f>
        <v>0.02</v>
      </c>
    </row>
    <row r="29" spans="1:22" ht="15.75">
      <c r="A29" s="26" t="str">
        <f>Source!E25</f>
        <v>1,1</v>
      </c>
      <c r="B29" s="27" t="str">
        <f>Source!F25</f>
        <v>1.1-1-118</v>
      </c>
      <c r="C29" s="25" t="str">
        <f>Source!G25</f>
        <v>ВОДА</v>
      </c>
      <c r="D29" s="29" t="str">
        <f>Source!H25</f>
        <v>м3</v>
      </c>
      <c r="E29" s="28">
        <f>ROUND(Source!I25,6)</f>
        <v>0.007983</v>
      </c>
      <c r="F29" s="31">
        <f>IF(Source!AL25=0,Source!AK25,Source!AL25)</f>
        <v>7.07</v>
      </c>
      <c r="G29" s="30">
        <f>Source!DD25</f>
      </c>
      <c r="H29" s="28"/>
      <c r="I29" s="32">
        <f>ROUND(Source!CQ25*Source!I25/IF(Source!BC25&lt;&gt;0,Source!BC25,1),2)+ROUND(Source!CR25*Source!I25/IF(Source!BB25&lt;&gt;0,Source!BB25,1),2)+ROUND(Source!CT25*Source!I25/IF(Source!BA25&lt;&gt;0,Source!BA25,1),2)</f>
        <v>0.06</v>
      </c>
      <c r="J29" s="28">
        <f>IF(Source!BC25&lt;&gt;0,Source!BC25,1)</f>
        <v>1</v>
      </c>
      <c r="K29" s="32">
        <f>Source!O25</f>
        <v>0.06</v>
      </c>
      <c r="Q29">
        <f>ROUND((Source!DN25/100)*ROUND(Source!CT25*Source!I25/IF(Source!BA25&lt;&gt;0,Source!BA25,1),2),2)</f>
        <v>0</v>
      </c>
      <c r="R29">
        <f>Source!X25</f>
        <v>0</v>
      </c>
      <c r="S29">
        <f>ROUND((Source!DO25/100)*ROUND(Source!CT25*Source!I25/IF(Source!BA25&lt;&gt;0,Source!BA25,1),2),2)</f>
        <v>0</v>
      </c>
      <c r="T29">
        <f>Source!Y25</f>
        <v>0</v>
      </c>
      <c r="U29">
        <f>ROUND((175/100)*ROUND(Source!CS25*Source!I25/IF(Source!BS25&lt;&gt;0,Source!BS25,1),2),2)</f>
        <v>0</v>
      </c>
      <c r="V29">
        <f>ROUND((180/100)*ROUND(Source!CS25*Source!I25,2),2)</f>
        <v>0</v>
      </c>
    </row>
    <row r="30" spans="1:22" ht="157.5">
      <c r="A30" s="26" t="str">
        <f>Source!E26</f>
        <v>1,2</v>
      </c>
      <c r="B30" s="27" t="str">
        <f>Source!F26</f>
        <v>1.3-2-26</v>
      </c>
      <c r="C30" s="25" t="str">
        <f>Source!G26</f>
        <v>СМЕСИ СУХИЕ ШТУКАТУРНЫЕ ЦЕМЕНТНО-ПЕСЧАНЫЕ ДЛЯ ВНУТРЕННИХ И НАРУЖНЫХ РАБОТ, МАРКА 150 (БИРСС 12), УЛУЧШЕННЫЕ С ИМПОРТНЫМИ ДОБАВКАМИ</v>
      </c>
      <c r="D30" s="29" t="str">
        <f>Source!H26</f>
        <v>т</v>
      </c>
      <c r="E30" s="28">
        <f>ROUND(Source!I26,6)</f>
        <v>0.045619</v>
      </c>
      <c r="F30" s="31">
        <f>IF(Source!AL26=0,Source!AK26,Source!AL26)</f>
        <v>1823.55</v>
      </c>
      <c r="G30" s="30">
        <f>Source!DD26</f>
      </c>
      <c r="H30" s="28"/>
      <c r="I30" s="32">
        <f>ROUND(Source!CQ26*Source!I26/IF(Source!BC26&lt;&gt;0,Source!BC26,1),2)+ROUND(Source!CR26*Source!I26/IF(Source!BB26&lt;&gt;0,Source!BB26,1),2)+ROUND(Source!CT26*Source!I26/IF(Source!BA26&lt;&gt;0,Source!BA26,1),2)</f>
        <v>83.19</v>
      </c>
      <c r="J30" s="28">
        <f>IF(Source!BC26&lt;&gt;0,Source!BC26,1)</f>
        <v>1</v>
      </c>
      <c r="K30" s="32">
        <f>Source!O26</f>
        <v>83.19</v>
      </c>
      <c r="Q30">
        <f>ROUND((Source!DN26/100)*ROUND(Source!CT26*Source!I26/IF(Source!BA26&lt;&gt;0,Source!BA26,1),2),2)</f>
        <v>0</v>
      </c>
      <c r="R30">
        <f>Source!X26</f>
        <v>0</v>
      </c>
      <c r="S30">
        <f>ROUND((Source!DO26/100)*ROUND(Source!CT26*Source!I26/IF(Source!BA26&lt;&gt;0,Source!BA26,1),2),2)</f>
        <v>0</v>
      </c>
      <c r="T30">
        <f>Source!Y26</f>
        <v>0</v>
      </c>
      <c r="U30">
        <f>ROUND((175/100)*ROUND(Source!CS26*Source!I26/IF(Source!BS26&lt;&gt;0,Source!BS26,1),2),2)</f>
        <v>0</v>
      </c>
      <c r="V30">
        <f>ROUND((180/100)*ROUND(Source!CS26*Source!I26,2),2)</f>
        <v>0</v>
      </c>
    </row>
    <row r="31" spans="1:22" ht="47.25">
      <c r="A31" s="26" t="str">
        <f>Source!E27</f>
        <v>1,3</v>
      </c>
      <c r="B31" s="27" t="str">
        <f>Source!F27</f>
        <v>1.3-2-12</v>
      </c>
      <c r="C31" s="25" t="str">
        <f>Source!G27</f>
        <v>РАСТВОРЫ ЦЕМЕНТНО-ИЗВЕСТКОВЫЕ, МАРКА 50</v>
      </c>
      <c r="D31" s="29" t="str">
        <f>Source!H27</f>
        <v>м3</v>
      </c>
      <c r="E31" s="28">
        <f>ROUND(Source!I27,6)</f>
        <v>0.111456</v>
      </c>
      <c r="F31" s="31">
        <f>IF(Source!AL27=0,Source!AK27,Source!AL27)</f>
        <v>475.68</v>
      </c>
      <c r="G31" s="30">
        <f>Source!DD27</f>
      </c>
      <c r="H31" s="28"/>
      <c r="I31" s="32">
        <f>ROUND(Source!CQ27*Source!I27/IF(Source!BC27&lt;&gt;0,Source!BC27,1),2)+ROUND(Source!CR27*Source!I27/IF(Source!BB27&lt;&gt;0,Source!BB27,1),2)+ROUND(Source!CT27*Source!I27/IF(Source!BA27&lt;&gt;0,Source!BA27,1),2)</f>
        <v>53.02</v>
      </c>
      <c r="J31" s="28">
        <f>IF(Source!BC27&lt;&gt;0,Source!BC27,1)</f>
        <v>1</v>
      </c>
      <c r="K31" s="32">
        <f>Source!O27</f>
        <v>53.02</v>
      </c>
      <c r="Q31">
        <f>ROUND((Source!DN27/100)*ROUND(Source!CT27*Source!I27/IF(Source!BA27&lt;&gt;0,Source!BA27,1),2),2)</f>
        <v>0</v>
      </c>
      <c r="R31">
        <f>Source!X27</f>
        <v>0</v>
      </c>
      <c r="S31">
        <f>ROUND((Source!DO27/100)*ROUND(Source!CT27*Source!I27/IF(Source!BA27&lt;&gt;0,Source!BA27,1),2),2)</f>
        <v>0</v>
      </c>
      <c r="T31">
        <f>Source!Y27</f>
        <v>0</v>
      </c>
      <c r="U31">
        <f>ROUND((175/100)*ROUND(Source!CS27*Source!I27/IF(Source!BS27&lt;&gt;0,Source!BS27,1),2),2)</f>
        <v>0</v>
      </c>
      <c r="V31">
        <f>ROUND((180/100)*ROUND(Source!CS27*Source!I27,2),2)</f>
        <v>0</v>
      </c>
    </row>
    <row r="32" spans="1:22" ht="47.25">
      <c r="A32" s="26" t="str">
        <f>Source!E28</f>
        <v>1,4</v>
      </c>
      <c r="B32" s="27" t="str">
        <f>Source!F28</f>
        <v>1.3-2-11</v>
      </c>
      <c r="C32" s="25" t="str">
        <f>Source!G28</f>
        <v>РАСТВОРЫ ЦЕМЕНТНО-ИЗВЕСТКОВЫЕ, МАРКА 25</v>
      </c>
      <c r="D32" s="29" t="str">
        <f>Source!H28</f>
        <v>м3</v>
      </c>
      <c r="E32" s="28">
        <f>ROUND(Source!I28,6)</f>
        <v>0.002592</v>
      </c>
      <c r="F32" s="31">
        <f>IF(Source!AL28=0,Source!AK28,Source!AL28)</f>
        <v>441.1</v>
      </c>
      <c r="G32" s="30">
        <f>Source!DD28</f>
      </c>
      <c r="H32" s="28"/>
      <c r="I32" s="32">
        <f>ROUND(Source!CQ28*Source!I28/IF(Source!BC28&lt;&gt;0,Source!BC28,1),2)+ROUND(Source!CR28*Source!I28/IF(Source!BB28&lt;&gt;0,Source!BB28,1),2)+ROUND(Source!CT28*Source!I28/IF(Source!BA28&lt;&gt;0,Source!BA28,1),2)</f>
        <v>1.14</v>
      </c>
      <c r="J32" s="28">
        <f>IF(Source!BC28&lt;&gt;0,Source!BC28,1)</f>
        <v>1</v>
      </c>
      <c r="K32" s="32">
        <f>Source!O28</f>
        <v>1.14</v>
      </c>
      <c r="Q32">
        <f>ROUND((Source!DN28/100)*ROUND(Source!CT28*Source!I28/IF(Source!BA28&lt;&gt;0,Source!BA28,1),2),2)</f>
        <v>0</v>
      </c>
      <c r="R32">
        <f>Source!X28</f>
        <v>0</v>
      </c>
      <c r="S32">
        <f>ROUND((Source!DO28/100)*ROUND(Source!CT28*Source!I28/IF(Source!BA28&lt;&gt;0,Source!BA28,1),2),2)</f>
        <v>0</v>
      </c>
      <c r="T32">
        <f>Source!Y28</f>
        <v>0</v>
      </c>
      <c r="U32">
        <f>ROUND((175/100)*ROUND(Source!CS28*Source!I28/IF(Source!BS28&lt;&gt;0,Source!BS28,1),2),2)</f>
        <v>0</v>
      </c>
      <c r="V32">
        <f>ROUND((180/100)*ROUND(Source!CS28*Source!I28,2),2)</f>
        <v>0</v>
      </c>
    </row>
    <row r="33" spans="1:11" ht="15.75">
      <c r="A33" s="26"/>
      <c r="B33" s="27"/>
      <c r="C33" s="25" t="s">
        <v>200</v>
      </c>
      <c r="D33" s="29" t="s">
        <v>201</v>
      </c>
      <c r="E33" s="28">
        <f>175</f>
        <v>175</v>
      </c>
      <c r="F33" s="31"/>
      <c r="G33" s="30"/>
      <c r="H33" s="28"/>
      <c r="I33" s="32">
        <f>SUM(U24:U32)</f>
        <v>1.49</v>
      </c>
      <c r="J33" s="28">
        <f>180</f>
        <v>180</v>
      </c>
      <c r="K33" s="32">
        <f>SUM(V24:V32)</f>
        <v>1.53</v>
      </c>
    </row>
    <row r="34" spans="1:11" ht="15.75">
      <c r="A34" s="35"/>
      <c r="B34" s="36"/>
      <c r="C34" s="37" t="s">
        <v>202</v>
      </c>
      <c r="D34" s="38" t="s">
        <v>203</v>
      </c>
      <c r="E34" s="39">
        <f>Source!AQ24</f>
        <v>179</v>
      </c>
      <c r="F34" s="40"/>
      <c r="G34" s="41" t="str">
        <f>Source!DI24</f>
        <v>)*1.15</v>
      </c>
      <c r="H34" s="39"/>
      <c r="I34" s="42">
        <f>Source!U24</f>
        <v>6.836278499999999</v>
      </c>
      <c r="J34" s="39"/>
      <c r="K34" s="42"/>
    </row>
    <row r="35" spans="8:27" ht="15.75">
      <c r="H35" s="34">
        <f>ROUND(Source!CQ24*Source!I24/IF(Source!BC24&lt;&gt;0,Source!BC24,1),2)+ROUND(Source!CT24*Source!I24/IF(Source!BA24&lt;&gt;0,Source!BA24,1),2)+ROUND(Source!CR24*Source!I24/IF(Source!BB24&lt;&gt;0,Source!BB24,1),2)+SUM(I29:I33)</f>
        <v>227.93</v>
      </c>
      <c r="I35" s="34"/>
      <c r="J35" s="34">
        <f>Source!O24+SUM(K29:K33)</f>
        <v>227.97</v>
      </c>
      <c r="K35" s="34"/>
      <c r="O35" s="33">
        <f>H35</f>
        <v>227.93</v>
      </c>
      <c r="P35" s="33">
        <f>J35</f>
        <v>227.97</v>
      </c>
      <c r="X35">
        <f>IF(Source!BI24&lt;=1,H35,0)</f>
        <v>227.93</v>
      </c>
      <c r="Y35">
        <f>IF(Source!BI24=2,H35,0)</f>
        <v>0</v>
      </c>
      <c r="Z35">
        <f>IF(Source!BI24=3,H35,0)</f>
        <v>0</v>
      </c>
      <c r="AA35">
        <f>IF(Source!BI24=4,H35,0)</f>
        <v>0</v>
      </c>
    </row>
    <row r="36" spans="1:22" ht="157.5">
      <c r="A36" s="26" t="str">
        <f>Source!E29</f>
        <v>2</v>
      </c>
      <c r="B36" s="27" t="str">
        <f>Source!F29</f>
        <v>6.52-21-2</v>
      </c>
      <c r="C36" s="25" t="str">
        <f>Source!G29</f>
        <v>ЗАДЕЛКА ТЕКУЩИХ ШВОВ, ТРЕЩИН И ОТВЕРСТИЙ В ЖЕЛЕЗОБЕТОННЫХ КОНСТРУКЦИЯХ БЫСТРОТВЕРДЕЮЩИМ ГИДРОИЗОЛЯЦИОННЫМ СОСТАВОМ "ТАМ СТОП 70"</v>
      </c>
      <c r="D36" s="29" t="str">
        <f>Source!H29</f>
        <v>м</v>
      </c>
      <c r="E36" s="28">
        <f>ROUND(Source!I29,6)</f>
        <v>5.75</v>
      </c>
      <c r="F36" s="31"/>
      <c r="G36" s="30"/>
      <c r="H36" s="28"/>
      <c r="I36" s="32"/>
      <c r="J36" s="28"/>
      <c r="K36" s="32"/>
      <c r="Q36">
        <f>ROUND((Source!DN29/100)*ROUND(Source!CT29*Source!I29/IF(Source!BA29&lt;&gt;0,Source!BA29,1),2),2)</f>
        <v>34.45</v>
      </c>
      <c r="R36">
        <f>Source!X29</f>
        <v>36.72</v>
      </c>
      <c r="S36">
        <f>ROUND((Source!DO29/100)*ROUND(Source!CT29*Source!I29/IF(Source!BA29&lt;&gt;0,Source!BA29,1),2),2)</f>
        <v>26.5</v>
      </c>
      <c r="T36">
        <f>Source!Y29</f>
        <v>25.37</v>
      </c>
      <c r="U36">
        <f>ROUND((175/100)*ROUND(Source!CS29*Source!I29/IF(Source!BS29&lt;&gt;0,Source!BS29,1),2),2)</f>
        <v>0.51</v>
      </c>
      <c r="V36">
        <f>ROUND((180/100)*ROUND(Source!CS29*Source!I29,2),2)</f>
        <v>0.52</v>
      </c>
    </row>
    <row r="37" spans="1:23" ht="15.75">
      <c r="A37" s="26"/>
      <c r="B37" s="27"/>
      <c r="C37" s="25" t="s">
        <v>196</v>
      </c>
      <c r="D37" s="29"/>
      <c r="E37" s="28"/>
      <c r="F37" s="31">
        <f>Source!AO29</f>
        <v>5.24</v>
      </c>
      <c r="G37" s="30" t="str">
        <f>Source!DG29</f>
        <v>)*1.2</v>
      </c>
      <c r="H37" s="28">
        <f>Source!AV29</f>
        <v>1.047</v>
      </c>
      <c r="I37" s="32">
        <f>ROUND(Source!CT29*Source!I29/IF(Source!BA29&lt;&gt;0,Source!BA29,1),2)</f>
        <v>37.86</v>
      </c>
      <c r="J37" s="28">
        <f>IF(Source!BA29&lt;&gt;0,Source!BA29,1)</f>
        <v>1</v>
      </c>
      <c r="K37" s="32">
        <f>Source!S29</f>
        <v>37.86</v>
      </c>
      <c r="W37">
        <f>ROUND(Source!CT29*Source!I29/IF(Source!BA29&lt;&gt;0,Source!BA29,1),2)</f>
        <v>37.86</v>
      </c>
    </row>
    <row r="38" spans="1:11" ht="15.75">
      <c r="A38" s="26"/>
      <c r="B38" s="27"/>
      <c r="C38" s="25" t="s">
        <v>197</v>
      </c>
      <c r="D38" s="29"/>
      <c r="E38" s="28"/>
      <c r="F38" s="31">
        <f>Source!AM29</f>
        <v>0.41</v>
      </c>
      <c r="G38" s="30" t="str">
        <f>Source!DE29</f>
        <v>)*1.2</v>
      </c>
      <c r="H38" s="28">
        <f>Source!AV29</f>
        <v>1.047</v>
      </c>
      <c r="I38" s="32">
        <f>ROUND(Source!CR29*Source!I29/IF(Source!BB29&lt;&gt;0,Source!BB29,1),2)</f>
        <v>2.96</v>
      </c>
      <c r="J38" s="28">
        <f>IF(Source!BB29&lt;&gt;0,Source!BB29,1)</f>
        <v>1</v>
      </c>
      <c r="K38" s="32">
        <f>Source!Q29</f>
        <v>2.96</v>
      </c>
    </row>
    <row r="39" spans="1:23" ht="15.75">
      <c r="A39" s="26"/>
      <c r="B39" s="27"/>
      <c r="C39" s="25" t="s">
        <v>198</v>
      </c>
      <c r="D39" s="29"/>
      <c r="E39" s="28"/>
      <c r="F39" s="31">
        <f>Source!AN29</f>
        <v>0.04</v>
      </c>
      <c r="G39" s="30" t="str">
        <f>Source!DF29</f>
        <v>)*1.2</v>
      </c>
      <c r="H39" s="28">
        <f>Source!AV29</f>
        <v>1.047</v>
      </c>
      <c r="I39" s="32">
        <f>ROUND(Source!CS29*Source!I29/IF(Source!BS29&lt;&gt;0,Source!BS29,1),2)</f>
        <v>0.29</v>
      </c>
      <c r="J39" s="28">
        <f>IF(Source!BS29&lt;&gt;0,Source!BS29,1)</f>
        <v>1</v>
      </c>
      <c r="K39" s="32">
        <f>Source!R29</f>
        <v>0.29</v>
      </c>
      <c r="W39">
        <f>ROUND(Source!CS29*Source!I29/IF(Source!BS29&lt;&gt;0,Source!BS29,1),2)</f>
        <v>0.29</v>
      </c>
    </row>
    <row r="40" spans="1:11" ht="15.75">
      <c r="A40" s="26"/>
      <c r="B40" s="27"/>
      <c r="C40" s="25" t="s">
        <v>199</v>
      </c>
      <c r="D40" s="29"/>
      <c r="E40" s="28"/>
      <c r="F40" s="31">
        <f>Source!AL29</f>
        <v>75.5</v>
      </c>
      <c r="G40" s="30">
        <f>Source!DD29</f>
      </c>
      <c r="H40" s="28">
        <f>Source!AW29</f>
        <v>1.002</v>
      </c>
      <c r="I40" s="32">
        <f>ROUND(Source!CQ29*Source!I29/IF(Source!BC29&lt;&gt;0,Source!BC29,1),2)</f>
        <v>434.99</v>
      </c>
      <c r="J40" s="28">
        <f>IF(Source!BC29&lt;&gt;0,Source!BC29,1)</f>
        <v>1</v>
      </c>
      <c r="K40" s="32">
        <f>Source!P29</f>
        <v>434.99</v>
      </c>
    </row>
    <row r="41" spans="1:11" ht="15.75">
      <c r="A41" s="26"/>
      <c r="B41" s="27"/>
      <c r="C41" s="25" t="s">
        <v>204</v>
      </c>
      <c r="D41" s="29" t="s">
        <v>201</v>
      </c>
      <c r="E41" s="28">
        <f>Source!DN29</f>
        <v>91</v>
      </c>
      <c r="F41" s="31"/>
      <c r="G41" s="30"/>
      <c r="H41" s="28"/>
      <c r="I41" s="32">
        <f>SUM(Q36:Q40)</f>
        <v>34.45</v>
      </c>
      <c r="J41" s="28">
        <f>Source!BZ29</f>
        <v>97</v>
      </c>
      <c r="K41" s="32">
        <f>SUM(R36:R40)</f>
        <v>36.72</v>
      </c>
    </row>
    <row r="42" spans="1:11" ht="15.75">
      <c r="A42" s="26"/>
      <c r="B42" s="27"/>
      <c r="C42" s="25" t="s">
        <v>205</v>
      </c>
      <c r="D42" s="29" t="s">
        <v>201</v>
      </c>
      <c r="E42" s="28">
        <f>Source!DO29</f>
        <v>70</v>
      </c>
      <c r="F42" s="31"/>
      <c r="G42" s="30"/>
      <c r="H42" s="28"/>
      <c r="I42" s="32">
        <f>SUM(S36:S41)</f>
        <v>26.5</v>
      </c>
      <c r="J42" s="28">
        <f>Source!CA29</f>
        <v>67</v>
      </c>
      <c r="K42" s="32">
        <f>SUM(T36:T41)</f>
        <v>25.37</v>
      </c>
    </row>
    <row r="43" spans="1:11" ht="15.75">
      <c r="A43" s="26"/>
      <c r="B43" s="27"/>
      <c r="C43" s="25" t="s">
        <v>200</v>
      </c>
      <c r="D43" s="29" t="s">
        <v>201</v>
      </c>
      <c r="E43" s="28">
        <f>175</f>
        <v>175</v>
      </c>
      <c r="F43" s="31"/>
      <c r="G43" s="30"/>
      <c r="H43" s="28"/>
      <c r="I43" s="32">
        <f>SUM(U36:U42)</f>
        <v>0.51</v>
      </c>
      <c r="J43" s="28">
        <f>180</f>
        <v>180</v>
      </c>
      <c r="K43" s="32">
        <f>SUM(V36:V42)</f>
        <v>0.52</v>
      </c>
    </row>
    <row r="44" spans="1:11" ht="15.75">
      <c r="A44" s="35"/>
      <c r="B44" s="36"/>
      <c r="C44" s="37" t="s">
        <v>202</v>
      </c>
      <c r="D44" s="38" t="s">
        <v>203</v>
      </c>
      <c r="E44" s="39">
        <f>Source!AQ29</f>
        <v>0.49</v>
      </c>
      <c r="F44" s="40"/>
      <c r="G44" s="41">
        <f>Source!DI29</f>
      </c>
      <c r="H44" s="39"/>
      <c r="I44" s="42">
        <f>Source!U29</f>
        <v>2.9499225</v>
      </c>
      <c r="J44" s="39"/>
      <c r="K44" s="42"/>
    </row>
    <row r="45" spans="8:27" ht="15.75">
      <c r="H45" s="34">
        <f>ROUND(Source!CQ29*Source!I29/IF(Source!BC29&lt;&gt;0,Source!BC29,1),2)+ROUND(Source!CT29*Source!I29/IF(Source!BA29&lt;&gt;0,Source!BA29,1),2)+ROUND(Source!CR29*Source!I29/IF(Source!BB29&lt;&gt;0,Source!BB29,1),2)+SUM(I41:I43)</f>
        <v>537.27</v>
      </c>
      <c r="I45" s="34"/>
      <c r="J45" s="34">
        <f>Source!O29+SUM(K41:K43)</f>
        <v>538.42</v>
      </c>
      <c r="K45" s="34"/>
      <c r="O45" s="33">
        <f>H45</f>
        <v>537.27</v>
      </c>
      <c r="P45" s="33">
        <f>J45</f>
        <v>538.42</v>
      </c>
      <c r="X45">
        <f>IF(Source!BI29&lt;=1,H45,0)</f>
        <v>537.27</v>
      </c>
      <c r="Y45">
        <f>IF(Source!BI29=2,H45,0)</f>
        <v>0</v>
      </c>
      <c r="Z45">
        <f>IF(Source!BI29=3,H45,0)</f>
        <v>0</v>
      </c>
      <c r="AA45">
        <f>IF(Source!BI29=4,H45,0)</f>
        <v>0</v>
      </c>
    </row>
    <row r="46" spans="1:22" ht="126">
      <c r="A46" s="26" t="str">
        <f>Source!E30</f>
        <v>3</v>
      </c>
      <c r="B46" s="27" t="str">
        <f>Source!F30</f>
        <v>6.61-7-1</v>
      </c>
      <c r="C46" s="25" t="str">
        <f>Source!G30</f>
        <v>РЕМОНТ ШТУКАТУРКИ ОТКОСОВ ВНУТРИ ЗДАНИЯ ПО КАМНЮ И БЕТОНУ ЦЕМЕНТНО-ИЗВЕСТКОВЫМ РАСТВОРОМ ПРЯМОЛИНЕЙНЫХ ПОВЕРХНОСТЕЙ</v>
      </c>
      <c r="D46" s="29" t="str">
        <f>Source!H30</f>
        <v>100 м2</v>
      </c>
      <c r="E46" s="28">
        <f>ROUND(Source!I30,6)</f>
        <v>0.0402</v>
      </c>
      <c r="F46" s="31"/>
      <c r="G46" s="30"/>
      <c r="H46" s="28"/>
      <c r="I46" s="32"/>
      <c r="J46" s="28"/>
      <c r="K46" s="32"/>
      <c r="Q46">
        <f>ROUND((Source!DN30/100)*ROUND(Source!CT30*Source!I30/IF(Source!BA30&lt;&gt;0,Source!BA30,1),2),2)</f>
        <v>223.99</v>
      </c>
      <c r="R46">
        <f>Source!X30</f>
        <v>239.67</v>
      </c>
      <c r="S46">
        <f>ROUND((Source!DO30/100)*ROUND(Source!CT30*Source!I30/IF(Source!BA30&lt;&gt;0,Source!BA30,1),2),2)</f>
        <v>143.35</v>
      </c>
      <c r="T46">
        <f>Source!Y30</f>
        <v>136.63</v>
      </c>
      <c r="U46">
        <f>ROUND((175/100)*ROUND(Source!CS30*Source!I30/IF(Source!BS30&lt;&gt;0,Source!BS30,1),2),2)</f>
        <v>0</v>
      </c>
      <c r="V46">
        <f>ROUND((180/100)*ROUND(Source!CS30*Source!I30,2),2)</f>
        <v>0</v>
      </c>
    </row>
    <row r="47" spans="1:23" ht="15.75">
      <c r="A47" s="26"/>
      <c r="B47" s="27"/>
      <c r="C47" s="25" t="s">
        <v>196</v>
      </c>
      <c r="D47" s="29"/>
      <c r="E47" s="28"/>
      <c r="F47" s="31">
        <f>Source!AO30</f>
        <v>4529.95</v>
      </c>
      <c r="G47" s="30" t="str">
        <f>Source!DG30</f>
        <v>)*1.2</v>
      </c>
      <c r="H47" s="28">
        <f>Source!AV30</f>
        <v>1.025</v>
      </c>
      <c r="I47" s="32">
        <f>ROUND(Source!CT30*Source!I30/IF(Source!BA30&lt;&gt;0,Source!BA30,1),2)</f>
        <v>223.99</v>
      </c>
      <c r="J47" s="28">
        <f>IF(Source!BA30&lt;&gt;0,Source!BA30,1)</f>
        <v>1</v>
      </c>
      <c r="K47" s="32">
        <f>Source!S30</f>
        <v>223.99</v>
      </c>
      <c r="W47">
        <f>ROUND(Source!CT30*Source!I30/IF(Source!BA30&lt;&gt;0,Source!BA30,1),2)</f>
        <v>223.99</v>
      </c>
    </row>
    <row r="48" spans="1:22" ht="47.25">
      <c r="A48" s="26" t="str">
        <f>Source!E31</f>
        <v>3,1</v>
      </c>
      <c r="B48" s="27" t="str">
        <f>Source!F31</f>
        <v>1.3-2-11</v>
      </c>
      <c r="C48" s="25" t="str">
        <f>Source!G31</f>
        <v>РАСТВОРЫ ЦЕМЕНТНО-ИЗВЕСТКОВЫЕ, МАРКА 25</v>
      </c>
      <c r="D48" s="29" t="str">
        <f>Source!H31</f>
        <v>м3</v>
      </c>
      <c r="E48" s="28">
        <f>ROUND(Source!I31,6)</f>
        <v>0.17688</v>
      </c>
      <c r="F48" s="31">
        <f>IF(Source!AL31=0,Source!AK31,Source!AL31)</f>
        <v>441.1</v>
      </c>
      <c r="G48" s="30">
        <f>Source!DD31</f>
      </c>
      <c r="H48" s="28"/>
      <c r="I48" s="32">
        <f>ROUND(Source!CQ31*Source!I31/IF(Source!BC31&lt;&gt;0,Source!BC31,1),2)+ROUND(Source!CR31*Source!I31/IF(Source!BB31&lt;&gt;0,Source!BB31,1),2)+ROUND(Source!CT31*Source!I31/IF(Source!BA31&lt;&gt;0,Source!BA31,1),2)</f>
        <v>78.02</v>
      </c>
      <c r="J48" s="28">
        <f>IF(Source!BC31&lt;&gt;0,Source!BC31,1)</f>
        <v>1</v>
      </c>
      <c r="K48" s="32">
        <f>Source!O31</f>
        <v>78.02</v>
      </c>
      <c r="Q48">
        <f>ROUND((Source!DN31/100)*ROUND(Source!CT31*Source!I31/IF(Source!BA31&lt;&gt;0,Source!BA31,1),2),2)</f>
        <v>0</v>
      </c>
      <c r="R48">
        <f>Source!X31</f>
        <v>0</v>
      </c>
      <c r="S48">
        <f>ROUND((Source!DO31/100)*ROUND(Source!CT31*Source!I31/IF(Source!BA31&lt;&gt;0,Source!BA31,1),2),2)</f>
        <v>0</v>
      </c>
      <c r="T48">
        <f>Source!Y31</f>
        <v>0</v>
      </c>
      <c r="U48">
        <f>ROUND((175/100)*ROUND(Source!CS31*Source!I31/IF(Source!BS31&lt;&gt;0,Source!BS31,1),2),2)</f>
        <v>0</v>
      </c>
      <c r="V48">
        <f>ROUND((180/100)*ROUND(Source!CS31*Source!I31,2),2)</f>
        <v>0</v>
      </c>
    </row>
    <row r="49" spans="1:11" ht="15.75">
      <c r="A49" s="26"/>
      <c r="B49" s="27"/>
      <c r="C49" s="25" t="s">
        <v>204</v>
      </c>
      <c r="D49" s="29" t="s">
        <v>201</v>
      </c>
      <c r="E49" s="28">
        <f>Source!DN30</f>
        <v>100</v>
      </c>
      <c r="F49" s="31"/>
      <c r="G49" s="30"/>
      <c r="H49" s="28"/>
      <c r="I49" s="32">
        <f>SUM(Q46:Q48)</f>
        <v>223.99</v>
      </c>
      <c r="J49" s="28">
        <f>Source!BZ30</f>
        <v>107</v>
      </c>
      <c r="K49" s="32">
        <f>SUM(R46:R48)</f>
        <v>239.67</v>
      </c>
    </row>
    <row r="50" spans="1:11" ht="15.75">
      <c r="A50" s="26"/>
      <c r="B50" s="27"/>
      <c r="C50" s="25" t="s">
        <v>205</v>
      </c>
      <c r="D50" s="29" t="s">
        <v>201</v>
      </c>
      <c r="E50" s="28">
        <f>Source!DO30</f>
        <v>64</v>
      </c>
      <c r="F50" s="31"/>
      <c r="G50" s="30"/>
      <c r="H50" s="28"/>
      <c r="I50" s="32">
        <f>SUM(S46:S49)</f>
        <v>143.35</v>
      </c>
      <c r="J50" s="28">
        <f>Source!CA30</f>
        <v>61</v>
      </c>
      <c r="K50" s="32">
        <f>SUM(T46:T49)</f>
        <v>136.63</v>
      </c>
    </row>
    <row r="51" spans="1:11" ht="15.75">
      <c r="A51" s="35"/>
      <c r="B51" s="36"/>
      <c r="C51" s="37" t="s">
        <v>202</v>
      </c>
      <c r="D51" s="38" t="s">
        <v>203</v>
      </c>
      <c r="E51" s="39">
        <f>Source!AQ30</f>
        <v>385.2</v>
      </c>
      <c r="F51" s="40"/>
      <c r="G51" s="41">
        <f>Source!DI30</f>
      </c>
      <c r="H51" s="39"/>
      <c r="I51" s="42">
        <f>Source!U30</f>
        <v>15.872165999999996</v>
      </c>
      <c r="J51" s="39"/>
      <c r="K51" s="42"/>
    </row>
    <row r="52" spans="8:27" ht="15.75">
      <c r="H52" s="34">
        <f>ROUND(Source!CQ30*Source!I30/IF(Source!BC30&lt;&gt;0,Source!BC30,1),2)+ROUND(Source!CT30*Source!I30/IF(Source!BA30&lt;&gt;0,Source!BA30,1),2)+ROUND(Source!CR30*Source!I30/IF(Source!BB30&lt;&gt;0,Source!BB30,1),2)+SUM(I48:I50)</f>
        <v>669.35</v>
      </c>
      <c r="I52" s="34"/>
      <c r="J52" s="34">
        <f>Source!O30+SUM(K48:K50)</f>
        <v>678.31</v>
      </c>
      <c r="K52" s="34"/>
      <c r="O52" s="33">
        <f>H52</f>
        <v>669.35</v>
      </c>
      <c r="P52" s="33">
        <f>J52</f>
        <v>678.31</v>
      </c>
      <c r="X52">
        <f>IF(Source!BI30&lt;=1,H52,0)</f>
        <v>669.35</v>
      </c>
      <c r="Y52">
        <f>IF(Source!BI30=2,H52,0)</f>
        <v>0</v>
      </c>
      <c r="Z52">
        <f>IF(Source!BI30=3,H52,0)</f>
        <v>0</v>
      </c>
      <c r="AA52">
        <f>IF(Source!BI30=4,H52,0)</f>
        <v>0</v>
      </c>
    </row>
    <row r="53" spans="1:22" ht="94.5">
      <c r="A53" s="26" t="str">
        <f>Source!E32</f>
        <v>4</v>
      </c>
      <c r="B53" s="27" t="str">
        <f>Source!F32</f>
        <v>3.15-97-5</v>
      </c>
      <c r="C53" s="25" t="str">
        <f>Source!G32</f>
        <v>ПРОСТАЯ ОКРАСКА КОЛЕРОМ МАСЛЯНЫМ РАЗБЕЛЕННЫМ ПО ДЕРЕВУ ЗАПОЛНЕНИЙ ОКОННЫХ ПРОЕМОВ</v>
      </c>
      <c r="D53" s="29" t="str">
        <f>Source!H32</f>
        <v>100 м2</v>
      </c>
      <c r="E53" s="28">
        <f>ROUND(Source!I32,6)</f>
        <v>0.0402</v>
      </c>
      <c r="F53" s="31"/>
      <c r="G53" s="30"/>
      <c r="H53" s="28"/>
      <c r="I53" s="32"/>
      <c r="J53" s="28"/>
      <c r="K53" s="32"/>
      <c r="Q53">
        <f>ROUND((Source!DN32/100)*ROUND(Source!CT32*Source!I32/IF(Source!BA32&lt;&gt;0,Source!BA32,1),2),2)</f>
        <v>26.41</v>
      </c>
      <c r="R53">
        <f>Source!X32</f>
        <v>23.55</v>
      </c>
      <c r="S53">
        <f>ROUND((Source!DO32/100)*ROUND(Source!CT32*Source!I32/IF(Source!BA32&lt;&gt;0,Source!BA32,1),2),2)</f>
        <v>18.49</v>
      </c>
      <c r="T53">
        <f>Source!Y32</f>
        <v>13.43</v>
      </c>
      <c r="U53">
        <f>ROUND((175/100)*ROUND(Source!CS32*Source!I32/IF(Source!BS32&lt;&gt;0,Source!BS32,1),2),2)</f>
        <v>0.02</v>
      </c>
      <c r="V53">
        <f>ROUND((180/100)*ROUND(Source!CS32*Source!I32,2),2)</f>
        <v>0.02</v>
      </c>
    </row>
    <row r="54" spans="1:23" ht="15.75">
      <c r="A54" s="26"/>
      <c r="B54" s="27"/>
      <c r="C54" s="25" t="s">
        <v>196</v>
      </c>
      <c r="D54" s="29"/>
      <c r="E54" s="28"/>
      <c r="F54" s="31">
        <f>Source!AO32</f>
        <v>464.54</v>
      </c>
      <c r="G54" s="30" t="str">
        <f>Source!DG32</f>
        <v>)*1.15</v>
      </c>
      <c r="H54" s="28">
        <f>Source!AV32</f>
        <v>1.025</v>
      </c>
      <c r="I54" s="32">
        <f>ROUND(Source!CT32*Source!I32/IF(Source!BA32&lt;&gt;0,Source!BA32,1),2)</f>
        <v>22.01</v>
      </c>
      <c r="J54" s="28">
        <f>IF(Source!BA32&lt;&gt;0,Source!BA32,1)</f>
        <v>1</v>
      </c>
      <c r="K54" s="32">
        <f>Source!S32</f>
        <v>22.01</v>
      </c>
      <c r="W54">
        <f>ROUND(Source!CT32*Source!I32/IF(Source!BA32&lt;&gt;0,Source!BA32,1),2)</f>
        <v>22.01</v>
      </c>
    </row>
    <row r="55" spans="1:11" ht="15.75">
      <c r="A55" s="26"/>
      <c r="B55" s="27"/>
      <c r="C55" s="25" t="s">
        <v>197</v>
      </c>
      <c r="D55" s="29"/>
      <c r="E55" s="28"/>
      <c r="F55" s="31">
        <f>Source!AM32</f>
        <v>0.74</v>
      </c>
      <c r="G55" s="30" t="str">
        <f>Source!DE32</f>
        <v>)*1.25)</v>
      </c>
      <c r="H55" s="28">
        <f>Source!AV32</f>
        <v>1.025</v>
      </c>
      <c r="I55" s="32">
        <f>ROUND(Source!CR32*Source!I32/IF(Source!BB32&lt;&gt;0,Source!BB32,1),2)</f>
        <v>0.04</v>
      </c>
      <c r="J55" s="28">
        <f>IF(Source!BB32&lt;&gt;0,Source!BB32,1)</f>
        <v>1</v>
      </c>
      <c r="K55" s="32">
        <f>Source!Q32</f>
        <v>0.04</v>
      </c>
    </row>
    <row r="56" spans="1:23" ht="15.75">
      <c r="A56" s="26"/>
      <c r="B56" s="27"/>
      <c r="C56" s="25" t="s">
        <v>198</v>
      </c>
      <c r="D56" s="29"/>
      <c r="E56" s="28"/>
      <c r="F56" s="31">
        <f>Source!AN32</f>
        <v>0.18</v>
      </c>
      <c r="G56" s="30" t="str">
        <f>Source!DF32</f>
        <v>)*1.25)</v>
      </c>
      <c r="H56" s="28">
        <f>Source!AV32</f>
        <v>1.025</v>
      </c>
      <c r="I56" s="32">
        <f>ROUND(Source!CS32*Source!I32/IF(Source!BS32&lt;&gt;0,Source!BS32,1),2)</f>
        <v>0.01</v>
      </c>
      <c r="J56" s="28">
        <f>IF(Source!BS32&lt;&gt;0,Source!BS32,1)</f>
        <v>1</v>
      </c>
      <c r="K56" s="32">
        <f>Source!R32</f>
        <v>0.01</v>
      </c>
      <c r="W56">
        <f>ROUND(Source!CS32*Source!I32/IF(Source!BS32&lt;&gt;0,Source!BS32,1),2)</f>
        <v>0.01</v>
      </c>
    </row>
    <row r="57" spans="1:11" ht="15.75">
      <c r="A57" s="26"/>
      <c r="B57" s="27"/>
      <c r="C57" s="25" t="s">
        <v>199</v>
      </c>
      <c r="D57" s="29"/>
      <c r="E57" s="28"/>
      <c r="F57" s="31">
        <f>Source!AL32</f>
        <v>1.19</v>
      </c>
      <c r="G57" s="30">
        <f>Source!DD32</f>
      </c>
      <c r="H57" s="28">
        <f>Source!AW32</f>
        <v>1</v>
      </c>
      <c r="I57" s="32">
        <f>ROUND(Source!CQ32*Source!I32/IF(Source!BC32&lt;&gt;0,Source!BC32,1),2)</f>
        <v>0.05</v>
      </c>
      <c r="J57" s="28">
        <f>IF(Source!BC32&lt;&gt;0,Source!BC32,1)</f>
        <v>1</v>
      </c>
      <c r="K57" s="32">
        <f>Source!P32</f>
        <v>0.05</v>
      </c>
    </row>
    <row r="58" spans="1:22" ht="110.25">
      <c r="A58" s="26" t="str">
        <f>Source!E33</f>
        <v>4,1</v>
      </c>
      <c r="B58" s="27" t="str">
        <f>Source!F33</f>
        <v>1.1-1-464</v>
      </c>
      <c r="C58" s="25" t="str">
        <f>Source!G33</f>
        <v>КРАСКИ МАСЛЯНЫЕ ЖИДКОТЕРТЫЕ ЦВЕТНЫЕ (ГОТОВЫЕ К УПОТРЕБЛЕНИЮ) ДЛЯ НАРУЖНЫХ И ВНУТРЕННИХ РАБОТ, МАРКА "АРМАФИНИШ"</v>
      </c>
      <c r="D58" s="29" t="str">
        <f>Source!H33</f>
        <v>л</v>
      </c>
      <c r="E58" s="28">
        <f>ROUND(Source!I33,6)</f>
        <v>0.000997</v>
      </c>
      <c r="F58" s="31">
        <f>IF(Source!AL33=0,Source!AK33,Source!AL33)</f>
        <v>34.75</v>
      </c>
      <c r="G58" s="30">
        <f>Source!DD33</f>
      </c>
      <c r="H58" s="28"/>
      <c r="I58" s="32">
        <f>ROUND(Source!CQ33*Source!I33/IF(Source!BC33&lt;&gt;0,Source!BC33,1),2)+ROUND(Source!CR33*Source!I33/IF(Source!BB33&lt;&gt;0,Source!BB33,1),2)+ROUND(Source!CT33*Source!I33/IF(Source!BA33&lt;&gt;0,Source!BA33,1),2)</f>
        <v>0.03</v>
      </c>
      <c r="J58" s="28">
        <f>IF(Source!BC33&lt;&gt;0,Source!BC33,1)</f>
        <v>1</v>
      </c>
      <c r="K58" s="32">
        <f>Source!O33</f>
        <v>0.03</v>
      </c>
      <c r="Q58">
        <f>ROUND((Source!DN33/100)*ROUND(Source!CT33*Source!I33/IF(Source!BA33&lt;&gt;0,Source!BA33,1),2),2)</f>
        <v>0</v>
      </c>
      <c r="R58">
        <f>Source!X33</f>
        <v>0</v>
      </c>
      <c r="S58">
        <f>ROUND((Source!DO33/100)*ROUND(Source!CT33*Source!I33/IF(Source!BA33&lt;&gt;0,Source!BA33,1),2),2)</f>
        <v>0</v>
      </c>
      <c r="T58">
        <f>Source!Y33</f>
        <v>0</v>
      </c>
      <c r="U58">
        <f>ROUND((175/100)*ROUND(Source!CS33*Source!I33/IF(Source!BS33&lt;&gt;0,Source!BS33,1),2),2)</f>
        <v>0</v>
      </c>
      <c r="V58">
        <f>ROUND((180/100)*ROUND(Source!CS33*Source!I33,2),2)</f>
        <v>0</v>
      </c>
    </row>
    <row r="59" spans="1:22" ht="47.25">
      <c r="A59" s="26" t="str">
        <f>Source!E34</f>
        <v>4,2</v>
      </c>
      <c r="B59" s="27" t="str">
        <f>Source!F34</f>
        <v>1.1-1-732</v>
      </c>
      <c r="C59" s="25" t="str">
        <f>Source!G34</f>
        <v>ОЛИФА ДЛЯ ОКРАСКИ КОМБИНИРОВАННАЯ "ОКСОЛЬ"</v>
      </c>
      <c r="D59" s="29" t="str">
        <f>Source!H34</f>
        <v>кг</v>
      </c>
      <c r="E59" s="28">
        <f>ROUND(Source!I34,6)</f>
        <v>0.31356</v>
      </c>
      <c r="F59" s="31">
        <f>IF(Source!AL34=0,Source!AK34,Source!AL34)</f>
        <v>20.19</v>
      </c>
      <c r="G59" s="30">
        <f>Source!DD34</f>
      </c>
      <c r="H59" s="28"/>
      <c r="I59" s="32">
        <f>ROUND(Source!CQ34*Source!I34/IF(Source!BC34&lt;&gt;0,Source!BC34,1),2)+ROUND(Source!CR34*Source!I34/IF(Source!BB34&lt;&gt;0,Source!BB34,1),2)+ROUND(Source!CT34*Source!I34/IF(Source!BA34&lt;&gt;0,Source!BA34,1),2)</f>
        <v>6.33</v>
      </c>
      <c r="J59" s="28">
        <f>IF(Source!BC34&lt;&gt;0,Source!BC34,1)</f>
        <v>1</v>
      </c>
      <c r="K59" s="32">
        <f>Source!O34</f>
        <v>6.33</v>
      </c>
      <c r="Q59">
        <f>ROUND((Source!DN34/100)*ROUND(Source!CT34*Source!I34/IF(Source!BA34&lt;&gt;0,Source!BA34,1),2),2)</f>
        <v>0</v>
      </c>
      <c r="R59">
        <f>Source!X34</f>
        <v>0</v>
      </c>
      <c r="S59">
        <f>ROUND((Source!DO34/100)*ROUND(Source!CT34*Source!I34/IF(Source!BA34&lt;&gt;0,Source!BA34,1),2),2)</f>
        <v>0</v>
      </c>
      <c r="T59">
        <f>Source!Y34</f>
        <v>0</v>
      </c>
      <c r="U59">
        <f>ROUND((175/100)*ROUND(Source!CS34*Source!I34/IF(Source!BS34&lt;&gt;0,Source!BS34,1),2),2)</f>
        <v>0</v>
      </c>
      <c r="V59">
        <f>ROUND((180/100)*ROUND(Source!CS34*Source!I34,2),2)</f>
        <v>0</v>
      </c>
    </row>
    <row r="60" spans="1:11" ht="15.75">
      <c r="A60" s="26"/>
      <c r="B60" s="27"/>
      <c r="C60" s="25" t="s">
        <v>204</v>
      </c>
      <c r="D60" s="29" t="s">
        <v>201</v>
      </c>
      <c r="E60" s="28">
        <f>Source!DN32</f>
        <v>120</v>
      </c>
      <c r="F60" s="31"/>
      <c r="G60" s="30"/>
      <c r="H60" s="28"/>
      <c r="I60" s="32">
        <f>SUM(Q53:Q59)</f>
        <v>26.41</v>
      </c>
      <c r="J60" s="28">
        <f>Source!BZ32</f>
        <v>107</v>
      </c>
      <c r="K60" s="32">
        <f>SUM(R53:R59)</f>
        <v>23.55</v>
      </c>
    </row>
    <row r="61" spans="1:11" ht="15.75">
      <c r="A61" s="26"/>
      <c r="B61" s="27"/>
      <c r="C61" s="25" t="s">
        <v>205</v>
      </c>
      <c r="D61" s="29" t="s">
        <v>201</v>
      </c>
      <c r="E61" s="28">
        <f>Source!DO32</f>
        <v>84</v>
      </c>
      <c r="F61" s="31"/>
      <c r="G61" s="30"/>
      <c r="H61" s="28"/>
      <c r="I61" s="32">
        <f>SUM(S53:S60)</f>
        <v>18.49</v>
      </c>
      <c r="J61" s="28">
        <f>Source!CA32</f>
        <v>61</v>
      </c>
      <c r="K61" s="32">
        <f>SUM(T53:T60)</f>
        <v>13.43</v>
      </c>
    </row>
    <row r="62" spans="1:11" ht="15.75">
      <c r="A62" s="26"/>
      <c r="B62" s="27"/>
      <c r="C62" s="25" t="s">
        <v>200</v>
      </c>
      <c r="D62" s="29" t="s">
        <v>201</v>
      </c>
      <c r="E62" s="28">
        <f>175</f>
        <v>175</v>
      </c>
      <c r="F62" s="31"/>
      <c r="G62" s="30"/>
      <c r="H62" s="28"/>
      <c r="I62" s="32">
        <f>SUM(U53:U61)</f>
        <v>0.02</v>
      </c>
      <c r="J62" s="28">
        <f>180</f>
        <v>180</v>
      </c>
      <c r="K62" s="32">
        <f>SUM(V53:V61)</f>
        <v>0.02</v>
      </c>
    </row>
    <row r="63" spans="1:11" ht="15.75">
      <c r="A63" s="35"/>
      <c r="B63" s="36"/>
      <c r="C63" s="37" t="s">
        <v>202</v>
      </c>
      <c r="D63" s="38" t="s">
        <v>203</v>
      </c>
      <c r="E63" s="39">
        <f>Source!AQ32</f>
        <v>40.5</v>
      </c>
      <c r="F63" s="40"/>
      <c r="G63" s="41" t="str">
        <f>Source!DI32</f>
        <v>)*1.15</v>
      </c>
      <c r="H63" s="39"/>
      <c r="I63" s="42">
        <f>Source!U32</f>
        <v>1.9191228749999996</v>
      </c>
      <c r="J63" s="39"/>
      <c r="K63" s="42"/>
    </row>
    <row r="64" spans="8:27" ht="15.75">
      <c r="H64" s="34">
        <f>ROUND(Source!CQ32*Source!I32/IF(Source!BC32&lt;&gt;0,Source!BC32,1),2)+ROUND(Source!CT32*Source!I32/IF(Source!BA32&lt;&gt;0,Source!BA32,1),2)+ROUND(Source!CR32*Source!I32/IF(Source!BB32&lt;&gt;0,Source!BB32,1),2)+SUM(I58:I62)</f>
        <v>73.38000000000001</v>
      </c>
      <c r="I64" s="34"/>
      <c r="J64" s="34">
        <f>Source!O32+SUM(K58:K62)</f>
        <v>65.46000000000001</v>
      </c>
      <c r="K64" s="34"/>
      <c r="O64" s="33">
        <f>H64</f>
        <v>73.38000000000001</v>
      </c>
      <c r="P64" s="33">
        <f>J64</f>
        <v>65.46000000000001</v>
      </c>
      <c r="X64">
        <f>IF(Source!BI32&lt;=1,H64,0)</f>
        <v>73.38000000000001</v>
      </c>
      <c r="Y64">
        <f>IF(Source!BI32=2,H64,0)</f>
        <v>0</v>
      </c>
      <c r="Z64">
        <f>IF(Source!BI32=3,H64,0)</f>
        <v>0</v>
      </c>
      <c r="AA64">
        <f>IF(Source!BI32=4,H64,0)</f>
        <v>0</v>
      </c>
    </row>
    <row r="65" spans="1:22" ht="94.5">
      <c r="A65" s="26" t="str">
        <f>Source!E35</f>
        <v>5</v>
      </c>
      <c r="B65" s="27" t="str">
        <f>Source!F35</f>
        <v>6.62-9-1</v>
      </c>
      <c r="C65" s="25" t="str">
        <f>Source!G35</f>
        <v>УЛУЧШЕННАЯ МАСЛЯНАЯ ОКРАСКА ОКОН РАЗБЕЛЕННЫМ КОЛЕРОМ С РАСЧИСТКОЙ СТАРОЙ КРАСКИ ДО 10 %</v>
      </c>
      <c r="D65" s="29" t="str">
        <f>Source!H35</f>
        <v>100 м2</v>
      </c>
      <c r="E65" s="28">
        <f>ROUND(Source!I35,6)</f>
        <v>0.2662</v>
      </c>
      <c r="F65" s="31"/>
      <c r="G65" s="30"/>
      <c r="H65" s="28"/>
      <c r="I65" s="32"/>
      <c r="J65" s="28"/>
      <c r="K65" s="32"/>
      <c r="Q65">
        <f>ROUND((Source!DN35/100)*ROUND(Source!CT35*Source!I35/IF(Source!BA35&lt;&gt;0,Source!BA35,1),2),2)</f>
        <v>316.11</v>
      </c>
      <c r="R65">
        <f>Source!X35</f>
        <v>338.24</v>
      </c>
      <c r="S65">
        <f>ROUND((Source!DO35/100)*ROUND(Source!CT35*Source!I35/IF(Source!BA35&lt;&gt;0,Source!BA35,1),2),2)</f>
        <v>202.31</v>
      </c>
      <c r="T65">
        <f>Source!Y35</f>
        <v>192.83</v>
      </c>
      <c r="U65">
        <f>ROUND((175/100)*ROUND(Source!CS35*Source!I35/IF(Source!BS35&lt;&gt;0,Source!BS35,1),2),2)</f>
        <v>0</v>
      </c>
      <c r="V65">
        <f>ROUND((180/100)*ROUND(Source!CS35*Source!I35,2),2)</f>
        <v>0</v>
      </c>
    </row>
    <row r="66" spans="1:23" ht="15.75">
      <c r="A66" s="26"/>
      <c r="B66" s="27"/>
      <c r="C66" s="25" t="s">
        <v>196</v>
      </c>
      <c r="D66" s="29"/>
      <c r="E66" s="28"/>
      <c r="F66" s="31">
        <f>Source!AO35</f>
        <v>965.45</v>
      </c>
      <c r="G66" s="30" t="str">
        <f>Source!DG35</f>
        <v>)*1.2</v>
      </c>
      <c r="H66" s="28">
        <f>Source!AV35</f>
        <v>1.025</v>
      </c>
      <c r="I66" s="32">
        <f>ROUND(Source!CT35*Source!I35/IF(Source!BA35&lt;&gt;0,Source!BA35,1),2)</f>
        <v>316.11</v>
      </c>
      <c r="J66" s="28">
        <f>IF(Source!BA35&lt;&gt;0,Source!BA35,1)</f>
        <v>1</v>
      </c>
      <c r="K66" s="32">
        <f>Source!S35</f>
        <v>316.11</v>
      </c>
      <c r="W66">
        <f>ROUND(Source!CT35*Source!I35/IF(Source!BA35&lt;&gt;0,Source!BA35,1),2)</f>
        <v>316.11</v>
      </c>
    </row>
    <row r="67" spans="1:11" ht="15.75">
      <c r="A67" s="26"/>
      <c r="B67" s="27"/>
      <c r="C67" s="25" t="s">
        <v>199</v>
      </c>
      <c r="D67" s="29"/>
      <c r="E67" s="28"/>
      <c r="F67" s="31">
        <f>Source!AL35</f>
        <v>670.91</v>
      </c>
      <c r="G67" s="30">
        <f>Source!DD35</f>
      </c>
      <c r="H67" s="28">
        <f>Source!AW35</f>
        <v>1</v>
      </c>
      <c r="I67" s="32">
        <f>ROUND(Source!CQ35*Source!I35/IF(Source!BC35&lt;&gt;0,Source!BC35,1),2)</f>
        <v>178.6</v>
      </c>
      <c r="J67" s="28">
        <f>IF(Source!BC35&lt;&gt;0,Source!BC35,1)</f>
        <v>1</v>
      </c>
      <c r="K67" s="32">
        <f>Source!P35</f>
        <v>178.6</v>
      </c>
    </row>
    <row r="68" spans="1:11" ht="15.75">
      <c r="A68" s="26"/>
      <c r="B68" s="27"/>
      <c r="C68" s="25" t="s">
        <v>204</v>
      </c>
      <c r="D68" s="29" t="s">
        <v>201</v>
      </c>
      <c r="E68" s="28">
        <f>Source!DN35</f>
        <v>100</v>
      </c>
      <c r="F68" s="31"/>
      <c r="G68" s="30"/>
      <c r="H68" s="28"/>
      <c r="I68" s="32">
        <f>SUM(Q65:Q67)</f>
        <v>316.11</v>
      </c>
      <c r="J68" s="28">
        <f>Source!BZ35</f>
        <v>107</v>
      </c>
      <c r="K68" s="32">
        <f>SUM(R65:R67)</f>
        <v>338.24</v>
      </c>
    </row>
    <row r="69" spans="1:11" ht="15.75">
      <c r="A69" s="26"/>
      <c r="B69" s="27"/>
      <c r="C69" s="25" t="s">
        <v>205</v>
      </c>
      <c r="D69" s="29" t="s">
        <v>201</v>
      </c>
      <c r="E69" s="28">
        <f>Source!DO35</f>
        <v>64</v>
      </c>
      <c r="F69" s="31"/>
      <c r="G69" s="30"/>
      <c r="H69" s="28"/>
      <c r="I69" s="32">
        <f>SUM(S65:S68)</f>
        <v>202.31</v>
      </c>
      <c r="J69" s="28">
        <f>Source!CA35</f>
        <v>61</v>
      </c>
      <c r="K69" s="32">
        <f>SUM(T65:T68)</f>
        <v>192.83</v>
      </c>
    </row>
    <row r="70" spans="1:11" ht="15.75">
      <c r="A70" s="35"/>
      <c r="B70" s="36"/>
      <c r="C70" s="37" t="s">
        <v>202</v>
      </c>
      <c r="D70" s="38" t="s">
        <v>203</v>
      </c>
      <c r="E70" s="39">
        <f>Source!AQ35</f>
        <v>79.2</v>
      </c>
      <c r="F70" s="40"/>
      <c r="G70" s="41">
        <f>Source!DI35</f>
      </c>
      <c r="H70" s="39"/>
      <c r="I70" s="42">
        <f>Source!U35</f>
        <v>21.610115999999998</v>
      </c>
      <c r="J70" s="39"/>
      <c r="K70" s="42"/>
    </row>
    <row r="71" spans="8:27" ht="15.75">
      <c r="H71" s="34">
        <f>ROUND(Source!CQ35*Source!I35/IF(Source!BC35&lt;&gt;0,Source!BC35,1),2)+ROUND(Source!CT35*Source!I35/IF(Source!BA35&lt;&gt;0,Source!BA35,1),2)+ROUND(Source!CR35*Source!I35/IF(Source!BB35&lt;&gt;0,Source!BB35,1),2)+SUM(I68:I69)</f>
        <v>1013.1300000000001</v>
      </c>
      <c r="I71" s="34"/>
      <c r="J71" s="34">
        <f>Source!O35+SUM(K68:K69)</f>
        <v>1025.78</v>
      </c>
      <c r="K71" s="34"/>
      <c r="O71" s="33">
        <f>H71</f>
        <v>1013.1300000000001</v>
      </c>
      <c r="P71" s="33">
        <f>J71</f>
        <v>1025.78</v>
      </c>
      <c r="X71">
        <f>IF(Source!BI35&lt;=1,H71,0)</f>
        <v>1013.1300000000001</v>
      </c>
      <c r="Y71">
        <f>IF(Source!BI35=2,H71,0)</f>
        <v>0</v>
      </c>
      <c r="Z71">
        <f>IF(Source!BI35=3,H71,0)</f>
        <v>0</v>
      </c>
      <c r="AA71">
        <f>IF(Source!BI35=4,H71,0)</f>
        <v>0</v>
      </c>
    </row>
    <row r="72" spans="1:22" ht="141.75">
      <c r="A72" s="26" t="str">
        <f>Source!E36</f>
        <v>6</v>
      </c>
      <c r="B72" s="27" t="str">
        <f>Source!F36</f>
        <v>3.15-99-7</v>
      </c>
      <c r="C72" s="25" t="str">
        <f>Source!G36</f>
        <v>УЛУЧШЕННАЯ ОКРАСКА КОЛЕРОМ МАСЛЯНЫМ РАЗБЕЛЕННЫМ ПО ДЕРЕВУ ОКОННЫХ БЛОКОВ, ПОДГОТОВЛЕННЫХ ПОД ВТОРУЮ ОКРАСКУ</v>
      </c>
      <c r="D72" s="29" t="str">
        <f>Source!H36</f>
        <v>100 м2</v>
      </c>
      <c r="E72" s="28">
        <f>ROUND(Source!I36,6)</f>
        <v>0.2662</v>
      </c>
      <c r="F72" s="31"/>
      <c r="G72" s="30"/>
      <c r="H72" s="28"/>
      <c r="I72" s="32"/>
      <c r="J72" s="28"/>
      <c r="K72" s="32"/>
      <c r="Q72">
        <f>ROUND((Source!DN36/100)*ROUND(Source!CT36*Source!I36/IF(Source!BA36&lt;&gt;0,Source!BA36,1),2),2)</f>
        <v>173.99</v>
      </c>
      <c r="R72">
        <f>Source!X36</f>
        <v>155.14</v>
      </c>
      <c r="S72">
        <f>ROUND((Source!DO36/100)*ROUND(Source!CT36*Source!I36/IF(Source!BA36&lt;&gt;0,Source!BA36,1),2),2)</f>
        <v>121.79</v>
      </c>
      <c r="T72">
        <f>Source!Y36</f>
        <v>88.44</v>
      </c>
      <c r="U72">
        <f>ROUND((175/100)*ROUND(Source!CS36*Source!I36/IF(Source!BS36&lt;&gt;0,Source!BS36,1),2),2)</f>
        <v>0.11</v>
      </c>
      <c r="V72">
        <f>ROUND((180/100)*ROUND(Source!CS36*Source!I36,2),2)</f>
        <v>0.11</v>
      </c>
    </row>
    <row r="73" spans="1:23" ht="15.75">
      <c r="A73" s="26"/>
      <c r="B73" s="27"/>
      <c r="C73" s="25" t="s">
        <v>196</v>
      </c>
      <c r="D73" s="29"/>
      <c r="E73" s="28"/>
      <c r="F73" s="31">
        <f>Source!AO36</f>
        <v>462.08</v>
      </c>
      <c r="G73" s="30" t="str">
        <f>Source!DG36</f>
        <v>)*1.15</v>
      </c>
      <c r="H73" s="28">
        <f>Source!AV36</f>
        <v>1.025</v>
      </c>
      <c r="I73" s="32">
        <f>ROUND(Source!CT36*Source!I36/IF(Source!BA36&lt;&gt;0,Source!BA36,1),2)</f>
        <v>144.99</v>
      </c>
      <c r="J73" s="28">
        <f>IF(Source!BA36&lt;&gt;0,Source!BA36,1)</f>
        <v>1</v>
      </c>
      <c r="K73" s="32">
        <f>Source!S36</f>
        <v>144.99</v>
      </c>
      <c r="W73">
        <f>ROUND(Source!CT36*Source!I36/IF(Source!BA36&lt;&gt;0,Source!BA36,1),2)</f>
        <v>144.99</v>
      </c>
    </row>
    <row r="74" spans="1:11" ht="15.75">
      <c r="A74" s="26"/>
      <c r="B74" s="27"/>
      <c r="C74" s="25" t="s">
        <v>197</v>
      </c>
      <c r="D74" s="29"/>
      <c r="E74" s="28"/>
      <c r="F74" s="31">
        <f>Source!AM36</f>
        <v>0.74</v>
      </c>
      <c r="G74" s="30" t="str">
        <f>Source!DE36</f>
        <v>)*1.25</v>
      </c>
      <c r="H74" s="28">
        <f>Source!AV36</f>
        <v>1.025</v>
      </c>
      <c r="I74" s="32">
        <f>ROUND(Source!CR36*Source!I36/IF(Source!BB36&lt;&gt;0,Source!BB36,1),2)</f>
        <v>0.25</v>
      </c>
      <c r="J74" s="28">
        <f>IF(Source!BB36&lt;&gt;0,Source!BB36,1)</f>
        <v>1</v>
      </c>
      <c r="K74" s="32">
        <f>Source!Q36</f>
        <v>0.25</v>
      </c>
    </row>
    <row r="75" spans="1:23" ht="15.75">
      <c r="A75" s="26"/>
      <c r="B75" s="27"/>
      <c r="C75" s="25" t="s">
        <v>198</v>
      </c>
      <c r="D75" s="29"/>
      <c r="E75" s="28"/>
      <c r="F75" s="31">
        <f>Source!AN36</f>
        <v>0.18</v>
      </c>
      <c r="G75" s="30" t="str">
        <f>Source!DF36</f>
        <v>)*1.25</v>
      </c>
      <c r="H75" s="28">
        <f>Source!AV36</f>
        <v>1.025</v>
      </c>
      <c r="I75" s="32">
        <f>ROUND(Source!CS36*Source!I36/IF(Source!BS36&lt;&gt;0,Source!BS36,1),2)</f>
        <v>0.06</v>
      </c>
      <c r="J75" s="28">
        <f>IF(Source!BS36&lt;&gt;0,Source!BS36,1)</f>
        <v>1</v>
      </c>
      <c r="K75" s="32">
        <f>Source!R36</f>
        <v>0.06</v>
      </c>
      <c r="W75">
        <f>ROUND(Source!CS36*Source!I36/IF(Source!BS36&lt;&gt;0,Source!BS36,1),2)</f>
        <v>0.06</v>
      </c>
    </row>
    <row r="76" spans="1:11" ht="15.75">
      <c r="A76" s="26"/>
      <c r="B76" s="27"/>
      <c r="C76" s="25" t="s">
        <v>199</v>
      </c>
      <c r="D76" s="29"/>
      <c r="E76" s="28"/>
      <c r="F76" s="31">
        <f>Source!AL36</f>
        <v>1.75</v>
      </c>
      <c r="G76" s="30">
        <f>Source!DD36</f>
      </c>
      <c r="H76" s="28">
        <f>Source!AW36</f>
        <v>1</v>
      </c>
      <c r="I76" s="32">
        <f>ROUND(Source!CQ36*Source!I36/IF(Source!BC36&lt;&gt;0,Source!BC36,1),2)</f>
        <v>0.47</v>
      </c>
      <c r="J76" s="28">
        <f>IF(Source!BC36&lt;&gt;0,Source!BC36,1)</f>
        <v>1</v>
      </c>
      <c r="K76" s="32">
        <f>Source!P36</f>
        <v>0.47</v>
      </c>
    </row>
    <row r="77" spans="1:22" ht="47.25">
      <c r="A77" s="26" t="str">
        <f>Source!E37</f>
        <v>6,1</v>
      </c>
      <c r="B77" s="27" t="str">
        <f>Source!F37</f>
        <v>1.1-1-1487</v>
      </c>
      <c r="C77" s="25" t="str">
        <f>Source!G37</f>
        <v>ШПАТЛЕВКА МАСЛЯНО-КЛЕЕВАЯ УНИВЕРСАЛЬНАЯ</v>
      </c>
      <c r="D77" s="29" t="str">
        <f>Source!H37</f>
        <v>т</v>
      </c>
      <c r="E77" s="28">
        <f>ROUND(Source!I37,6)</f>
        <v>0.001331</v>
      </c>
      <c r="F77" s="31">
        <f>IF(Source!AL37=0,Source!AK37,Source!AL37)</f>
        <v>2278.84</v>
      </c>
      <c r="G77" s="30">
        <f>Source!DD37</f>
      </c>
      <c r="H77" s="28"/>
      <c r="I77" s="32">
        <f>ROUND(Source!CQ37*Source!I37/IF(Source!BC37&lt;&gt;0,Source!BC37,1),2)+ROUND(Source!CR37*Source!I37/IF(Source!BB37&lt;&gt;0,Source!BB37,1),2)+ROUND(Source!CT37*Source!I37/IF(Source!BA37&lt;&gt;0,Source!BA37,1),2)</f>
        <v>3.03</v>
      </c>
      <c r="J77" s="28">
        <f>IF(Source!BC37&lt;&gt;0,Source!BC37,1)</f>
        <v>1</v>
      </c>
      <c r="K77" s="32">
        <f>Source!O37</f>
        <v>3.03</v>
      </c>
      <c r="Q77">
        <f>ROUND((Source!DN37/100)*ROUND(Source!CT37*Source!I37/IF(Source!BA37&lt;&gt;0,Source!BA37,1),2),2)</f>
        <v>0</v>
      </c>
      <c r="R77">
        <f>Source!X37</f>
        <v>0</v>
      </c>
      <c r="S77">
        <f>ROUND((Source!DO37/100)*ROUND(Source!CT37*Source!I37/IF(Source!BA37&lt;&gt;0,Source!BA37,1),2),2)</f>
        <v>0</v>
      </c>
      <c r="T77">
        <f>Source!Y37</f>
        <v>0</v>
      </c>
      <c r="U77">
        <f>ROUND((175/100)*ROUND(Source!CS37*Source!I37/IF(Source!BS37&lt;&gt;0,Source!BS37,1),2),2)</f>
        <v>0</v>
      </c>
      <c r="V77">
        <f>ROUND((180/100)*ROUND(Source!CS37*Source!I37,2),2)</f>
        <v>0</v>
      </c>
    </row>
    <row r="78" spans="1:22" ht="110.25">
      <c r="A78" s="26" t="str">
        <f>Source!E38</f>
        <v>6,2</v>
      </c>
      <c r="B78" s="27" t="str">
        <f>Source!F38</f>
        <v>1.1-1-463</v>
      </c>
      <c r="C78" s="25" t="str">
        <f>Source!G38</f>
        <v>КРАСКИ МАСЛЯНЫЕ ЖИДКОТЕРТЫЕ ЦВЕТНЫЕ (ГОТОВЫЕ К УПОТРЕБЛЕНИЮ) ДЛЯ НАРУЖНЫХ И ВНУТРЕННИХ РАБОТ, МАРКА МА-25</v>
      </c>
      <c r="D78" s="29" t="str">
        <f>Source!H38</f>
        <v>т</v>
      </c>
      <c r="E78" s="28">
        <f>ROUND(Source!I38,6)</f>
        <v>0.002401</v>
      </c>
      <c r="F78" s="31">
        <f>IF(Source!AL38=0,Source!AK38,Source!AL38)</f>
        <v>32008.27</v>
      </c>
      <c r="G78" s="30">
        <f>Source!DD38</f>
      </c>
      <c r="H78" s="28"/>
      <c r="I78" s="32">
        <f>ROUND(Source!CQ38*Source!I38/IF(Source!BC38&lt;&gt;0,Source!BC38,1),2)+ROUND(Source!CR38*Source!I38/IF(Source!BB38&lt;&gt;0,Source!BB38,1),2)+ROUND(Source!CT38*Source!I38/IF(Source!BA38&lt;&gt;0,Source!BA38,1),2)</f>
        <v>76.86</v>
      </c>
      <c r="J78" s="28">
        <f>IF(Source!BC38&lt;&gt;0,Source!BC38,1)</f>
        <v>1</v>
      </c>
      <c r="K78" s="32">
        <f>Source!O38</f>
        <v>76.86</v>
      </c>
      <c r="Q78">
        <f>ROUND((Source!DN38/100)*ROUND(Source!CT38*Source!I38/IF(Source!BA38&lt;&gt;0,Source!BA38,1),2),2)</f>
        <v>0</v>
      </c>
      <c r="R78">
        <f>Source!X38</f>
        <v>0</v>
      </c>
      <c r="S78">
        <f>ROUND((Source!DO38/100)*ROUND(Source!CT38*Source!I38/IF(Source!BA38&lt;&gt;0,Source!BA38,1),2),2)</f>
        <v>0</v>
      </c>
      <c r="T78">
        <f>Source!Y38</f>
        <v>0</v>
      </c>
      <c r="U78">
        <f>ROUND((175/100)*ROUND(Source!CS38*Source!I38/IF(Source!BS38&lt;&gt;0,Source!BS38,1),2),2)</f>
        <v>0</v>
      </c>
      <c r="V78">
        <f>ROUND((180/100)*ROUND(Source!CS38*Source!I38,2),2)</f>
        <v>0</v>
      </c>
    </row>
    <row r="79" spans="1:11" ht="15.75">
      <c r="A79" s="26"/>
      <c r="B79" s="27"/>
      <c r="C79" s="25" t="s">
        <v>204</v>
      </c>
      <c r="D79" s="29" t="s">
        <v>201</v>
      </c>
      <c r="E79" s="28">
        <f>Source!DN36</f>
        <v>120</v>
      </c>
      <c r="F79" s="31"/>
      <c r="G79" s="30"/>
      <c r="H79" s="28"/>
      <c r="I79" s="32">
        <f>SUM(Q72:Q78)</f>
        <v>173.99</v>
      </c>
      <c r="J79" s="28">
        <f>Source!BZ36</f>
        <v>107</v>
      </c>
      <c r="K79" s="32">
        <f>SUM(R72:R78)</f>
        <v>155.14</v>
      </c>
    </row>
    <row r="80" spans="1:11" ht="15.75">
      <c r="A80" s="26"/>
      <c r="B80" s="27"/>
      <c r="C80" s="25" t="s">
        <v>205</v>
      </c>
      <c r="D80" s="29" t="s">
        <v>201</v>
      </c>
      <c r="E80" s="28">
        <f>Source!DO36</f>
        <v>84</v>
      </c>
      <c r="F80" s="31"/>
      <c r="G80" s="30"/>
      <c r="H80" s="28"/>
      <c r="I80" s="32">
        <f>SUM(S72:S79)</f>
        <v>121.79</v>
      </c>
      <c r="J80" s="28">
        <f>Source!CA36</f>
        <v>61</v>
      </c>
      <c r="K80" s="32">
        <f>SUM(T72:T79)</f>
        <v>88.44</v>
      </c>
    </row>
    <row r="81" spans="1:11" ht="15.75">
      <c r="A81" s="26"/>
      <c r="B81" s="27"/>
      <c r="C81" s="25" t="s">
        <v>200</v>
      </c>
      <c r="D81" s="29" t="s">
        <v>201</v>
      </c>
      <c r="E81" s="28">
        <f>175</f>
        <v>175</v>
      </c>
      <c r="F81" s="31"/>
      <c r="G81" s="30"/>
      <c r="H81" s="28"/>
      <c r="I81" s="32">
        <f>SUM(U72:U80)</f>
        <v>0.11</v>
      </c>
      <c r="J81" s="28">
        <f>180</f>
        <v>180</v>
      </c>
      <c r="K81" s="32">
        <f>SUM(V72:V80)</f>
        <v>0.11</v>
      </c>
    </row>
    <row r="82" spans="1:11" ht="15.75">
      <c r="A82" s="35"/>
      <c r="B82" s="36"/>
      <c r="C82" s="37" t="s">
        <v>202</v>
      </c>
      <c r="D82" s="38" t="s">
        <v>203</v>
      </c>
      <c r="E82" s="39">
        <f>Source!AQ36</f>
        <v>36.1</v>
      </c>
      <c r="F82" s="40"/>
      <c r="G82" s="41" t="str">
        <f>Source!DI36</f>
        <v>)*1.15</v>
      </c>
      <c r="H82" s="39"/>
      <c r="I82" s="42">
        <f>Source!U36</f>
        <v>11.327575325</v>
      </c>
      <c r="J82" s="39"/>
      <c r="K82" s="42"/>
    </row>
    <row r="83" spans="8:27" ht="15.75">
      <c r="H83" s="34">
        <f>ROUND(Source!CQ36*Source!I36/IF(Source!BC36&lt;&gt;0,Source!BC36,1),2)+ROUND(Source!CT36*Source!I36/IF(Source!BA36&lt;&gt;0,Source!BA36,1),2)+ROUND(Source!CR36*Source!I36/IF(Source!BB36&lt;&gt;0,Source!BB36,1),2)+SUM(I77:I81)</f>
        <v>521.49</v>
      </c>
      <c r="I83" s="34"/>
      <c r="J83" s="34">
        <f>Source!O36+SUM(K77:K81)</f>
        <v>469.28999999999996</v>
      </c>
      <c r="K83" s="34"/>
      <c r="O83" s="33">
        <f>H83</f>
        <v>521.49</v>
      </c>
      <c r="P83" s="33">
        <f>J83</f>
        <v>469.28999999999996</v>
      </c>
      <c r="X83">
        <f>IF(Source!BI36&lt;=1,H83,0)</f>
        <v>521.49</v>
      </c>
      <c r="Y83">
        <f>IF(Source!BI36=2,H83,0)</f>
        <v>0</v>
      </c>
      <c r="Z83">
        <f>IF(Source!BI36=3,H83,0)</f>
        <v>0</v>
      </c>
      <c r="AA83">
        <f>IF(Source!BI36=4,H83,0)</f>
        <v>0</v>
      </c>
    </row>
    <row r="85" spans="1:28" ht="15.75">
      <c r="A85" s="44" t="str">
        <f>CONCATENATE("Итого по локальной смете: ",Source!G40)</f>
        <v>Итого по локальной смете: ОКНА</v>
      </c>
      <c r="B85" s="44"/>
      <c r="C85" s="44"/>
      <c r="D85" s="44"/>
      <c r="E85" s="44"/>
      <c r="F85" s="44"/>
      <c r="G85" s="44"/>
      <c r="H85" s="34">
        <f>SUM(O24:O84)</f>
        <v>3042.55</v>
      </c>
      <c r="I85" s="43"/>
      <c r="J85" s="34">
        <f>SUM(P24:P84)</f>
        <v>3005.2299999999996</v>
      </c>
      <c r="K85" s="43"/>
      <c r="AB85" s="45" t="s">
        <v>206</v>
      </c>
    </row>
    <row r="88" spans="1:28" ht="15.75">
      <c r="A88" s="44" t="str">
        <f>CONCATENATE("Итого по смете: ",Source!G61)</f>
        <v>Итого по смете: ДОМ №3 Смета на ремонт окон</v>
      </c>
      <c r="B88" s="44"/>
      <c r="C88" s="44"/>
      <c r="D88" s="44"/>
      <c r="E88" s="44"/>
      <c r="F88" s="44"/>
      <c r="G88" s="44"/>
      <c r="H88" s="34">
        <f>SUM(O1:O87)</f>
        <v>3042.55</v>
      </c>
      <c r="I88" s="43"/>
      <c r="J88" s="34">
        <f>SUM(P1:P87)</f>
        <v>3005.2299999999996</v>
      </c>
      <c r="K88" s="43"/>
      <c r="AB88" s="45" t="s">
        <v>207</v>
      </c>
    </row>
    <row r="91" spans="1:11" ht="15.75">
      <c r="A91" s="46" t="s">
        <v>208</v>
      </c>
      <c r="B91" s="46"/>
      <c r="C91" s="47" t="str">
        <f>IF(Source!AC12&lt;&gt;"",Source!AC12," ")</f>
        <v> </v>
      </c>
      <c r="D91" s="47"/>
      <c r="E91" s="47"/>
      <c r="F91" s="47"/>
      <c r="G91" s="47"/>
      <c r="H91" s="9" t="str">
        <f>IF(Source!AB12&lt;&gt;"",Source!AB12," ")</f>
        <v> </v>
      </c>
      <c r="I91" s="9"/>
      <c r="J91" s="9"/>
      <c r="K91" s="9"/>
    </row>
    <row r="92" spans="1:11" ht="15.75">
      <c r="A92" s="9"/>
      <c r="B92" s="9"/>
      <c r="C92" s="8" t="s">
        <v>209</v>
      </c>
      <c r="D92" s="8"/>
      <c r="E92" s="8"/>
      <c r="F92" s="8"/>
      <c r="G92" s="8"/>
      <c r="H92" s="9"/>
      <c r="I92" s="9"/>
      <c r="J92" s="9"/>
      <c r="K92" s="9"/>
    </row>
    <row r="93" spans="1:11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.75">
      <c r="A94" s="46" t="s">
        <v>210</v>
      </c>
      <c r="B94" s="46"/>
      <c r="C94" s="47" t="str">
        <f>IF(Source!AE12&lt;&gt;"",Source!AE12," ")</f>
        <v> </v>
      </c>
      <c r="D94" s="47"/>
      <c r="E94" s="47"/>
      <c r="F94" s="47"/>
      <c r="G94" s="47"/>
      <c r="H94" s="9" t="str">
        <f>IF(Source!AD12&lt;&gt;"",Source!AD12," ")</f>
        <v> </v>
      </c>
      <c r="I94" s="9"/>
      <c r="J94" s="9"/>
      <c r="K94" s="9"/>
    </row>
    <row r="95" spans="1:11" ht="15.75">
      <c r="A95" s="9"/>
      <c r="B95" s="9"/>
      <c r="C95" s="8" t="s">
        <v>209</v>
      </c>
      <c r="D95" s="8"/>
      <c r="E95" s="8"/>
      <c r="F95" s="8"/>
      <c r="G95" s="8"/>
      <c r="H95" s="9"/>
      <c r="I95" s="9"/>
      <c r="J95" s="9"/>
      <c r="K95" s="9"/>
    </row>
  </sheetData>
  <sheetProtection/>
  <mergeCells count="36">
    <mergeCell ref="A91:B91"/>
    <mergeCell ref="C92:G92"/>
    <mergeCell ref="A94:B94"/>
    <mergeCell ref="C95:G95"/>
    <mergeCell ref="J83:K83"/>
    <mergeCell ref="H83:I83"/>
    <mergeCell ref="J85:K85"/>
    <mergeCell ref="H85:I85"/>
    <mergeCell ref="A85:G85"/>
    <mergeCell ref="J88:K88"/>
    <mergeCell ref="H88:I88"/>
    <mergeCell ref="A88:G88"/>
    <mergeCell ref="J52:K52"/>
    <mergeCell ref="H52:I52"/>
    <mergeCell ref="J64:K64"/>
    <mergeCell ref="H64:I64"/>
    <mergeCell ref="J71:K71"/>
    <mergeCell ref="H71:I71"/>
    <mergeCell ref="F19:H19"/>
    <mergeCell ref="F20:H20"/>
    <mergeCell ref="J35:K35"/>
    <mergeCell ref="H35:I35"/>
    <mergeCell ref="J45:K45"/>
    <mergeCell ref="H45:I45"/>
    <mergeCell ref="B11:K11"/>
    <mergeCell ref="A13:K13"/>
    <mergeCell ref="F15:H15"/>
    <mergeCell ref="F16:H16"/>
    <mergeCell ref="F17:H17"/>
    <mergeCell ref="F18:H18"/>
    <mergeCell ref="A2:K2"/>
    <mergeCell ref="A3:K3"/>
    <mergeCell ref="A5:K5"/>
    <mergeCell ref="A6:K6"/>
    <mergeCell ref="A8:K8"/>
    <mergeCell ref="B10:K10"/>
  </mergeCells>
  <printOptions/>
  <pageMargins left="0.4" right="0.4" top="0.2" bottom="0.2" header="0.2" footer="0.2"/>
  <pageSetup horizontalDpi="600" verticalDpi="600" orientation="portrait" paperSize="9" scale="65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48816</v>
      </c>
    </row>
    <row r="12" spans="1:133" ht="12.75">
      <c r="A12" s="1">
        <v>1</v>
      </c>
      <c r="B12" s="1">
        <v>85</v>
      </c>
      <c r="C12" s="1">
        <v>0</v>
      </c>
      <c r="D12" s="1">
        <f>ROW(A61)</f>
        <v>61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180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0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B61</f>
        <v>85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ДОМ №3 (ТСН-2001. ТЕРРИТОРИАЛЬНЫЕ СМЕТНЫЕ НОРМАТИВЫ ДЛЯ МОСК</v>
      </c>
      <c r="G18" s="2" t="str">
        <f t="shared" si="0"/>
        <v>ДОМ №3 Смета на ремонт окон</v>
      </c>
      <c r="H18" s="2"/>
      <c r="I18" s="2"/>
      <c r="J18" s="2"/>
      <c r="K18" s="2"/>
      <c r="L18" s="2"/>
      <c r="M18" s="2"/>
      <c r="N18" s="2"/>
      <c r="O18" s="2">
        <f aca="true" t="shared" si="1" ref="O18:AT18">O61</f>
        <v>1753.03</v>
      </c>
      <c r="P18" s="2">
        <f t="shared" si="1"/>
        <v>915.81</v>
      </c>
      <c r="Q18" s="2">
        <f t="shared" si="1"/>
        <v>6.87</v>
      </c>
      <c r="R18" s="2">
        <f t="shared" si="1"/>
        <v>1.21</v>
      </c>
      <c r="S18" s="2">
        <f t="shared" si="1"/>
        <v>830.35</v>
      </c>
      <c r="T18" s="2">
        <f t="shared" si="1"/>
        <v>0</v>
      </c>
      <c r="U18" s="2">
        <f t="shared" si="1"/>
        <v>60.51518119999999</v>
      </c>
      <c r="V18" s="2">
        <f t="shared" si="1"/>
        <v>0</v>
      </c>
      <c r="W18" s="2">
        <f t="shared" si="1"/>
        <v>0</v>
      </c>
      <c r="X18" s="2">
        <f t="shared" si="1"/>
        <v>793.32</v>
      </c>
      <c r="Y18" s="2">
        <f t="shared" si="1"/>
        <v>456.7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3005.23</v>
      </c>
      <c r="AS18" s="2">
        <f t="shared" si="1"/>
        <v>3005.23</v>
      </c>
      <c r="AT18" s="2">
        <f t="shared" si="1"/>
        <v>0</v>
      </c>
      <c r="AU18" s="2">
        <f aca="true" t="shared" si="2" ref="AU18:BZ18">AU61</f>
        <v>0</v>
      </c>
      <c r="AV18" s="2">
        <f t="shared" si="2"/>
        <v>0</v>
      </c>
      <c r="AW18" s="2">
        <f t="shared" si="2"/>
        <v>0</v>
      </c>
      <c r="AX18" s="2">
        <f t="shared" si="2"/>
        <v>0</v>
      </c>
      <c r="AY18" s="2">
        <f t="shared" si="2"/>
        <v>0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CA61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DG61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68" ht="12.75">
      <c r="A20" s="1">
        <v>3</v>
      </c>
      <c r="B20" s="1">
        <v>1</v>
      </c>
      <c r="C20" s="1"/>
      <c r="D20" s="1">
        <f>ROW(A40)</f>
        <v>40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1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  <c r="BP20" s="1" t="s">
        <v>3</v>
      </c>
    </row>
    <row r="22" spans="1:118" ht="12.75">
      <c r="A22" s="2">
        <v>52</v>
      </c>
      <c r="B22" s="2">
        <f aca="true" t="shared" si="5" ref="B22:G22">B40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ОКНА</v>
      </c>
      <c r="G22" s="2" t="str">
        <f t="shared" si="5"/>
        <v>ОКНА</v>
      </c>
      <c r="H22" s="2"/>
      <c r="I22" s="2"/>
      <c r="J22" s="2"/>
      <c r="K22" s="2"/>
      <c r="L22" s="2"/>
      <c r="M22" s="2"/>
      <c r="N22" s="2"/>
      <c r="O22" s="2">
        <f aca="true" t="shared" si="6" ref="O22:AT22">O40</f>
        <v>1753.03</v>
      </c>
      <c r="P22" s="2">
        <f t="shared" si="6"/>
        <v>915.81</v>
      </c>
      <c r="Q22" s="2">
        <f t="shared" si="6"/>
        <v>6.87</v>
      </c>
      <c r="R22" s="2">
        <f t="shared" si="6"/>
        <v>1.21</v>
      </c>
      <c r="S22" s="2">
        <f t="shared" si="6"/>
        <v>830.35</v>
      </c>
      <c r="T22" s="2">
        <f t="shared" si="6"/>
        <v>0</v>
      </c>
      <c r="U22" s="2">
        <f t="shared" si="6"/>
        <v>60.51518119999999</v>
      </c>
      <c r="V22" s="2">
        <f t="shared" si="6"/>
        <v>0</v>
      </c>
      <c r="W22" s="2">
        <f t="shared" si="6"/>
        <v>0</v>
      </c>
      <c r="X22" s="2">
        <f t="shared" si="6"/>
        <v>793.32</v>
      </c>
      <c r="Y22" s="2">
        <f t="shared" si="6"/>
        <v>456.7</v>
      </c>
      <c r="Z22" s="2">
        <f t="shared" si="6"/>
        <v>0</v>
      </c>
      <c r="AA22" s="2">
        <f t="shared" si="6"/>
        <v>0</v>
      </c>
      <c r="AB22" s="2">
        <f t="shared" si="6"/>
        <v>1753.03</v>
      </c>
      <c r="AC22" s="2">
        <f t="shared" si="6"/>
        <v>915.81</v>
      </c>
      <c r="AD22" s="2">
        <f t="shared" si="6"/>
        <v>6.87</v>
      </c>
      <c r="AE22" s="2">
        <f t="shared" si="6"/>
        <v>1.21</v>
      </c>
      <c r="AF22" s="2">
        <f t="shared" si="6"/>
        <v>830.35</v>
      </c>
      <c r="AG22" s="2">
        <f t="shared" si="6"/>
        <v>0</v>
      </c>
      <c r="AH22" s="2">
        <f t="shared" si="6"/>
        <v>60.51518119999999</v>
      </c>
      <c r="AI22" s="2">
        <f t="shared" si="6"/>
        <v>0</v>
      </c>
      <c r="AJ22" s="2">
        <f t="shared" si="6"/>
        <v>0</v>
      </c>
      <c r="AK22" s="2">
        <f t="shared" si="6"/>
        <v>793.32</v>
      </c>
      <c r="AL22" s="2">
        <f t="shared" si="6"/>
        <v>456.7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3005.23</v>
      </c>
      <c r="AS22" s="2">
        <f t="shared" si="6"/>
        <v>3005.23</v>
      </c>
      <c r="AT22" s="2">
        <f t="shared" si="6"/>
        <v>0</v>
      </c>
      <c r="AU22" s="2">
        <f aca="true" t="shared" si="7" ref="AU22:BZ22">AU40</f>
        <v>0</v>
      </c>
      <c r="AV22" s="2">
        <f t="shared" si="7"/>
        <v>0</v>
      </c>
      <c r="AW22" s="2">
        <f t="shared" si="7"/>
        <v>0</v>
      </c>
      <c r="AX22" s="2">
        <f t="shared" si="7"/>
        <v>0</v>
      </c>
      <c r="AY22" s="2">
        <f t="shared" si="7"/>
        <v>0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3005.23</v>
      </c>
      <c r="BF22" s="2">
        <f t="shared" si="7"/>
        <v>3005.23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CA40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DG40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17</v>
      </c>
      <c r="B24">
        <v>1</v>
      </c>
      <c r="C24">
        <f>ROW(SmtRes!A7)</f>
        <v>7</v>
      </c>
      <c r="D24">
        <f>ROW(EtalonRes!A7)</f>
        <v>7</v>
      </c>
      <c r="E24" t="s">
        <v>13</v>
      </c>
      <c r="F24" t="s">
        <v>14</v>
      </c>
      <c r="G24" t="s">
        <v>15</v>
      </c>
      <c r="H24" t="s">
        <v>16</v>
      </c>
      <c r="I24">
        <v>0.0324</v>
      </c>
      <c r="J24">
        <v>0</v>
      </c>
      <c r="O24">
        <f aca="true" t="shared" si="10" ref="O24:O38">ROUND(CP24,2)</f>
        <v>89.03</v>
      </c>
      <c r="P24">
        <f aca="true" t="shared" si="11" ref="P24:P38">ROUND(CQ24*I24,2)</f>
        <v>0.02</v>
      </c>
      <c r="Q24">
        <f aca="true" t="shared" si="12" ref="Q24:Q38">ROUND(CR24*I24,2)</f>
        <v>3.62</v>
      </c>
      <c r="R24">
        <f aca="true" t="shared" si="13" ref="R24:R38">ROUND(CS24*I24,2)</f>
        <v>0.85</v>
      </c>
      <c r="S24">
        <f aca="true" t="shared" si="14" ref="S24:S38">ROUND(CT24*I24,2)</f>
        <v>85.39</v>
      </c>
      <c r="T24">
        <f aca="true" t="shared" si="15" ref="T24:T38">ROUND(CU24*I24,2)</f>
        <v>0</v>
      </c>
      <c r="U24">
        <f aca="true" t="shared" si="16" ref="U24:U38">CV24*I24</f>
        <v>6.836278499999999</v>
      </c>
      <c r="V24">
        <f aca="true" t="shared" si="17" ref="V24:V38">CW24*I24</f>
        <v>0</v>
      </c>
      <c r="W24">
        <f aca="true" t="shared" si="18" ref="W24:W38">ROUND(CX24*I24,2)</f>
        <v>0</v>
      </c>
      <c r="X24">
        <f aca="true" t="shared" si="19" ref="X24:X38">ROUND(CY24,2)</f>
        <v>0</v>
      </c>
      <c r="Y24">
        <f aca="true" t="shared" si="20" ref="Y24:Y38">ROUND(CZ24,2)</f>
        <v>0</v>
      </c>
      <c r="AA24">
        <v>22537192</v>
      </c>
      <c r="AB24">
        <f aca="true" t="shared" si="21" ref="AB24:AB38">(AC24+AD24+AF24)</f>
        <v>2680.639</v>
      </c>
      <c r="AC24">
        <f>(ES24)</f>
        <v>0.71</v>
      </c>
      <c r="AD24">
        <f>((ET24*1.25))</f>
        <v>108.86250000000001</v>
      </c>
      <c r="AE24">
        <f>((EU24*1.25))</f>
        <v>25.724999999999998</v>
      </c>
      <c r="AF24">
        <f>((EV24*1.15))</f>
        <v>2571.0665</v>
      </c>
      <c r="AG24">
        <f>(AP24)</f>
        <v>0</v>
      </c>
      <c r="AH24">
        <f>((EW24*1.15))</f>
        <v>205.85</v>
      </c>
      <c r="AI24">
        <f>((EX24*1.25))</f>
        <v>0</v>
      </c>
      <c r="AJ24">
        <f>(AS24)</f>
        <v>0</v>
      </c>
      <c r="AK24">
        <v>2323.51</v>
      </c>
      <c r="AL24">
        <v>0.71</v>
      </c>
      <c r="AM24">
        <v>87.09</v>
      </c>
      <c r="AN24">
        <v>20.58</v>
      </c>
      <c r="AO24">
        <v>2235.71</v>
      </c>
      <c r="AP24">
        <v>0</v>
      </c>
      <c r="AQ24">
        <v>179</v>
      </c>
      <c r="AR24">
        <v>0</v>
      </c>
      <c r="AS24">
        <v>0</v>
      </c>
      <c r="AT24">
        <v>0</v>
      </c>
      <c r="AU24">
        <v>0</v>
      </c>
      <c r="AV24">
        <v>1.025</v>
      </c>
      <c r="AW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17</v>
      </c>
      <c r="BM24">
        <v>115</v>
      </c>
      <c r="BN24">
        <v>0</v>
      </c>
      <c r="BO24" t="s">
        <v>14</v>
      </c>
      <c r="BP24">
        <v>1</v>
      </c>
      <c r="BQ24">
        <v>30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0</v>
      </c>
      <c r="CA24">
        <v>0</v>
      </c>
      <c r="CF24">
        <v>0</v>
      </c>
      <c r="CG24">
        <v>0</v>
      </c>
      <c r="CM24">
        <v>0</v>
      </c>
      <c r="CO24">
        <v>0</v>
      </c>
      <c r="CP24">
        <f aca="true" t="shared" si="22" ref="CP24:CP38">(P24+Q24+S24)</f>
        <v>89.03</v>
      </c>
      <c r="CQ24">
        <f aca="true" t="shared" si="23" ref="CQ24:CQ38">((AC24*AW24))*BC24</f>
        <v>0.71</v>
      </c>
      <c r="CR24">
        <f aca="true" t="shared" si="24" ref="CR24:CR38">((AD24*AV24))*BB24</f>
        <v>111.5840625</v>
      </c>
      <c r="CS24">
        <f aca="true" t="shared" si="25" ref="CS24:CS38">((AE24*AV24))*BS24</f>
        <v>26.368124999999996</v>
      </c>
      <c r="CT24">
        <f aca="true" t="shared" si="26" ref="CT24:CT38">((AF24*AV24))*BA24</f>
        <v>2635.3431625</v>
      </c>
      <c r="CU24">
        <f aca="true" t="shared" si="27" ref="CU24:CU38">AG24</f>
        <v>0</v>
      </c>
      <c r="CV24">
        <f aca="true" t="shared" si="28" ref="CV24:CV38">(AH24*AV24)</f>
        <v>210.99624999999997</v>
      </c>
      <c r="CW24">
        <f aca="true" t="shared" si="29" ref="CW24:CW38">AI24</f>
        <v>0</v>
      </c>
      <c r="CX24">
        <f aca="true" t="shared" si="30" ref="CX24:CX38">AJ24</f>
        <v>0</v>
      </c>
      <c r="CY24">
        <f aca="true" t="shared" si="31" ref="CY24:CY38">S24*(BZ24/100)</f>
        <v>0</v>
      </c>
      <c r="CZ24">
        <f aca="true" t="shared" si="32" ref="CZ24:CZ38">S24*(CA24/100)</f>
        <v>0</v>
      </c>
      <c r="DE24" t="s">
        <v>18</v>
      </c>
      <c r="DF24" t="s">
        <v>18</v>
      </c>
      <c r="DG24" t="s">
        <v>19</v>
      </c>
      <c r="DI24" t="s">
        <v>19</v>
      </c>
      <c r="DJ24" t="s">
        <v>18</v>
      </c>
      <c r="DN24">
        <v>120</v>
      </c>
      <c r="DO24">
        <v>84</v>
      </c>
      <c r="DP24">
        <v>1.025</v>
      </c>
      <c r="DQ24">
        <v>1</v>
      </c>
      <c r="DU24">
        <v>1005</v>
      </c>
      <c r="DV24" t="s">
        <v>16</v>
      </c>
      <c r="DW24" t="s">
        <v>16</v>
      </c>
      <c r="DX24">
        <v>100</v>
      </c>
      <c r="EE24">
        <v>22536109</v>
      </c>
      <c r="EF24">
        <v>30</v>
      </c>
      <c r="EG24" t="s">
        <v>20</v>
      </c>
      <c r="EH24">
        <v>0</v>
      </c>
      <c r="EJ24">
        <v>1</v>
      </c>
      <c r="EK24">
        <v>115</v>
      </c>
      <c r="EL24" t="s">
        <v>21</v>
      </c>
      <c r="EM24" t="s">
        <v>22</v>
      </c>
      <c r="EQ24">
        <v>0</v>
      </c>
      <c r="ER24">
        <v>2323.51</v>
      </c>
      <c r="ES24">
        <v>0.71</v>
      </c>
      <c r="ET24">
        <v>87.09</v>
      </c>
      <c r="EU24">
        <v>20.58</v>
      </c>
      <c r="EV24">
        <v>2235.71</v>
      </c>
      <c r="EW24">
        <v>179</v>
      </c>
      <c r="EX24">
        <v>0</v>
      </c>
      <c r="EY24">
        <v>0</v>
      </c>
      <c r="EZ24">
        <v>0</v>
      </c>
      <c r="FQ24">
        <v>0</v>
      </c>
      <c r="FR24">
        <f aca="true" t="shared" si="33" ref="FR24:FR38">ROUND(IF(AND(BH24=3,BI24=3),P24,0),2)</f>
        <v>0</v>
      </c>
      <c r="FS24">
        <v>0</v>
      </c>
      <c r="FX24">
        <v>0</v>
      </c>
      <c r="FY24">
        <v>0</v>
      </c>
      <c r="GG24">
        <v>2</v>
      </c>
      <c r="GH24">
        <v>0</v>
      </c>
      <c r="GI24">
        <v>0</v>
      </c>
      <c r="GJ24">
        <v>0</v>
      </c>
      <c r="GK24">
        <f>ROUND(R24*(R12)/100,2)</f>
        <v>1.53</v>
      </c>
      <c r="GL24">
        <f aca="true" t="shared" si="34" ref="GL24:GL38">ROUND(IF(AND(BH24=3,BI24=3,FS24&lt;&gt;0),P24,0),2)</f>
        <v>0</v>
      </c>
      <c r="GM24">
        <f aca="true" t="shared" si="35" ref="GM24:GM38">O24+X24+Y24+GK24</f>
        <v>90.56</v>
      </c>
      <c r="GN24">
        <f aca="true" t="shared" si="36" ref="GN24:GN38">ROUND(IF(OR(BI24=0,BI24=1),O24+X24+Y24+GK24,0),2)</f>
        <v>90.56</v>
      </c>
      <c r="GO24">
        <f aca="true" t="shared" si="37" ref="GO24:GO38">ROUND(IF(BI24=2,O24+X24+Y24+GK24,0),2)</f>
        <v>0</v>
      </c>
      <c r="GP24">
        <f aca="true" t="shared" si="38" ref="GP24:GP38">ROUND(IF(BI24=4,O24+X24+Y24+GK24,0),2)</f>
        <v>0</v>
      </c>
      <c r="GR24">
        <v>0</v>
      </c>
    </row>
    <row r="25" spans="1:200" ht="12.75">
      <c r="A25">
        <v>18</v>
      </c>
      <c r="B25">
        <v>1</v>
      </c>
      <c r="C25">
        <v>4</v>
      </c>
      <c r="E25" t="s">
        <v>23</v>
      </c>
      <c r="F25" t="s">
        <v>24</v>
      </c>
      <c r="G25" t="s">
        <v>25</v>
      </c>
      <c r="H25" t="s">
        <v>26</v>
      </c>
      <c r="I25">
        <f>I24*J25</f>
        <v>0.00798336</v>
      </c>
      <c r="J25">
        <v>0.2464</v>
      </c>
      <c r="O25">
        <f t="shared" si="10"/>
        <v>0.06</v>
      </c>
      <c r="P25">
        <f t="shared" si="11"/>
        <v>0.06</v>
      </c>
      <c r="Q25">
        <f t="shared" si="12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>
        <f t="shared" si="16"/>
        <v>0</v>
      </c>
      <c r="V25">
        <f t="shared" si="17"/>
        <v>0</v>
      </c>
      <c r="W25">
        <f t="shared" si="18"/>
        <v>0</v>
      </c>
      <c r="X25">
        <f t="shared" si="19"/>
        <v>0</v>
      </c>
      <c r="Y25">
        <f t="shared" si="20"/>
        <v>0</v>
      </c>
      <c r="AA25">
        <v>22537192</v>
      </c>
      <c r="AB25">
        <f t="shared" si="21"/>
        <v>7.07</v>
      </c>
      <c r="AC25">
        <f aca="true" t="shared" si="39" ref="AC25:AJ28">AL25</f>
        <v>7.07</v>
      </c>
      <c r="AD25">
        <f t="shared" si="39"/>
        <v>0</v>
      </c>
      <c r="AE25">
        <f t="shared" si="39"/>
        <v>0</v>
      </c>
      <c r="AF25">
        <f t="shared" si="39"/>
        <v>0</v>
      </c>
      <c r="AG25">
        <f t="shared" si="39"/>
        <v>0</v>
      </c>
      <c r="AH25">
        <f t="shared" si="39"/>
        <v>0</v>
      </c>
      <c r="AI25">
        <f t="shared" si="39"/>
        <v>0</v>
      </c>
      <c r="AJ25">
        <f t="shared" si="39"/>
        <v>0</v>
      </c>
      <c r="AK25">
        <v>7.07</v>
      </c>
      <c r="AL25">
        <v>7.07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1.025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3</v>
      </c>
      <c r="BI25">
        <v>1</v>
      </c>
      <c r="BJ25" t="s">
        <v>27</v>
      </c>
      <c r="BM25">
        <v>115</v>
      </c>
      <c r="BN25">
        <v>0</v>
      </c>
      <c r="BO25" t="s">
        <v>24</v>
      </c>
      <c r="BP25">
        <v>1</v>
      </c>
      <c r="BQ25">
        <v>30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0</v>
      </c>
      <c r="CA25">
        <v>0</v>
      </c>
      <c r="CF25">
        <v>0</v>
      </c>
      <c r="CG25">
        <v>0</v>
      </c>
      <c r="CM25">
        <v>0</v>
      </c>
      <c r="CO25">
        <v>0</v>
      </c>
      <c r="CP25">
        <f t="shared" si="22"/>
        <v>0.06</v>
      </c>
      <c r="CQ25">
        <f t="shared" si="23"/>
        <v>7.07</v>
      </c>
      <c r="CR25">
        <f t="shared" si="24"/>
        <v>0</v>
      </c>
      <c r="CS25">
        <f t="shared" si="25"/>
        <v>0</v>
      </c>
      <c r="CT25">
        <f t="shared" si="26"/>
        <v>0</v>
      </c>
      <c r="CU25">
        <f t="shared" si="27"/>
        <v>0</v>
      </c>
      <c r="CV25">
        <f t="shared" si="28"/>
        <v>0</v>
      </c>
      <c r="CW25">
        <f t="shared" si="29"/>
        <v>0</v>
      </c>
      <c r="CX25">
        <f t="shared" si="30"/>
        <v>0</v>
      </c>
      <c r="CY25">
        <f t="shared" si="31"/>
        <v>0</v>
      </c>
      <c r="CZ25">
        <f t="shared" si="32"/>
        <v>0</v>
      </c>
      <c r="DN25">
        <v>120</v>
      </c>
      <c r="DO25">
        <v>84</v>
      </c>
      <c r="DP25">
        <v>1.025</v>
      </c>
      <c r="DQ25">
        <v>1</v>
      </c>
      <c r="DU25">
        <v>1007</v>
      </c>
      <c r="DV25" t="s">
        <v>26</v>
      </c>
      <c r="DW25" t="s">
        <v>26</v>
      </c>
      <c r="DX25">
        <v>1</v>
      </c>
      <c r="EE25">
        <v>22536109</v>
      </c>
      <c r="EF25">
        <v>30</v>
      </c>
      <c r="EG25" t="s">
        <v>20</v>
      </c>
      <c r="EH25">
        <v>0</v>
      </c>
      <c r="EJ25">
        <v>1</v>
      </c>
      <c r="EK25">
        <v>115</v>
      </c>
      <c r="EL25" t="s">
        <v>21</v>
      </c>
      <c r="EM25" t="s">
        <v>22</v>
      </c>
      <c r="EQ25">
        <v>0</v>
      </c>
      <c r="ER25">
        <v>7.07</v>
      </c>
      <c r="ES25">
        <v>7.07</v>
      </c>
      <c r="ET25">
        <v>0</v>
      </c>
      <c r="EU25">
        <v>0</v>
      </c>
      <c r="EV25">
        <v>0</v>
      </c>
      <c r="EW25">
        <v>0</v>
      </c>
      <c r="EX25">
        <v>0</v>
      </c>
      <c r="EZ25">
        <v>0</v>
      </c>
      <c r="FQ25">
        <v>0</v>
      </c>
      <c r="FR25">
        <f t="shared" si="33"/>
        <v>0</v>
      </c>
      <c r="FS25">
        <v>0</v>
      </c>
      <c r="FX25">
        <v>0</v>
      </c>
      <c r="FY25">
        <v>0</v>
      </c>
      <c r="GG25">
        <v>2</v>
      </c>
      <c r="GH25">
        <v>0</v>
      </c>
      <c r="GI25">
        <v>0</v>
      </c>
      <c r="GJ25">
        <v>0</v>
      </c>
      <c r="GK25">
        <f>ROUND(R25*(R12)/100,2)</f>
        <v>0</v>
      </c>
      <c r="GL25">
        <f t="shared" si="34"/>
        <v>0</v>
      </c>
      <c r="GM25">
        <f t="shared" si="35"/>
        <v>0.06</v>
      </c>
      <c r="GN25">
        <f t="shared" si="36"/>
        <v>0.06</v>
      </c>
      <c r="GO25">
        <f t="shared" si="37"/>
        <v>0</v>
      </c>
      <c r="GP25">
        <f t="shared" si="38"/>
        <v>0</v>
      </c>
      <c r="GR25">
        <v>0</v>
      </c>
    </row>
    <row r="26" spans="1:200" ht="12.75">
      <c r="A26">
        <v>18</v>
      </c>
      <c r="B26">
        <v>1</v>
      </c>
      <c r="C26">
        <v>7</v>
      </c>
      <c r="E26" t="s">
        <v>28</v>
      </c>
      <c r="F26" t="s">
        <v>29</v>
      </c>
      <c r="G26" t="s">
        <v>30</v>
      </c>
      <c r="H26" t="s">
        <v>31</v>
      </c>
      <c r="I26">
        <f>I24*J26</f>
        <v>0.04561919999999999</v>
      </c>
      <c r="J26">
        <v>1.408</v>
      </c>
      <c r="O26">
        <f t="shared" si="10"/>
        <v>83.19</v>
      </c>
      <c r="P26">
        <f t="shared" si="11"/>
        <v>83.19</v>
      </c>
      <c r="Q26">
        <f t="shared" si="12"/>
        <v>0</v>
      </c>
      <c r="R26">
        <f t="shared" si="13"/>
        <v>0</v>
      </c>
      <c r="S26">
        <f t="shared" si="14"/>
        <v>0</v>
      </c>
      <c r="T26">
        <f t="shared" si="15"/>
        <v>0</v>
      </c>
      <c r="U26">
        <f t="shared" si="16"/>
        <v>0</v>
      </c>
      <c r="V26">
        <f t="shared" si="17"/>
        <v>0</v>
      </c>
      <c r="W26">
        <f t="shared" si="18"/>
        <v>0</v>
      </c>
      <c r="X26">
        <f t="shared" si="19"/>
        <v>0</v>
      </c>
      <c r="Y26">
        <f t="shared" si="20"/>
        <v>0</v>
      </c>
      <c r="AA26">
        <v>22537192</v>
      </c>
      <c r="AB26">
        <f t="shared" si="21"/>
        <v>1823.55</v>
      </c>
      <c r="AC26">
        <f t="shared" si="39"/>
        <v>1823.55</v>
      </c>
      <c r="AD26">
        <f t="shared" si="39"/>
        <v>0</v>
      </c>
      <c r="AE26">
        <f t="shared" si="39"/>
        <v>0</v>
      </c>
      <c r="AF26">
        <f t="shared" si="39"/>
        <v>0</v>
      </c>
      <c r="AG26">
        <f t="shared" si="39"/>
        <v>0</v>
      </c>
      <c r="AH26">
        <f t="shared" si="39"/>
        <v>0</v>
      </c>
      <c r="AI26">
        <f t="shared" si="39"/>
        <v>0</v>
      </c>
      <c r="AJ26">
        <f t="shared" si="39"/>
        <v>0</v>
      </c>
      <c r="AK26">
        <v>1823.55</v>
      </c>
      <c r="AL26">
        <v>1823.55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1.025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3</v>
      </c>
      <c r="BI26">
        <v>1</v>
      </c>
      <c r="BJ26" t="s">
        <v>32</v>
      </c>
      <c r="BM26">
        <v>115</v>
      </c>
      <c r="BN26">
        <v>0</v>
      </c>
      <c r="BO26" t="s">
        <v>29</v>
      </c>
      <c r="BP26">
        <v>1</v>
      </c>
      <c r="BQ26">
        <v>30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0</v>
      </c>
      <c r="CA26">
        <v>0</v>
      </c>
      <c r="CF26">
        <v>0</v>
      </c>
      <c r="CG26">
        <v>0</v>
      </c>
      <c r="CM26">
        <v>0</v>
      </c>
      <c r="CO26">
        <v>0</v>
      </c>
      <c r="CP26">
        <f t="shared" si="22"/>
        <v>83.19</v>
      </c>
      <c r="CQ26">
        <f t="shared" si="23"/>
        <v>1823.55</v>
      </c>
      <c r="CR26">
        <f t="shared" si="24"/>
        <v>0</v>
      </c>
      <c r="CS26">
        <f t="shared" si="25"/>
        <v>0</v>
      </c>
      <c r="CT26">
        <f t="shared" si="26"/>
        <v>0</v>
      </c>
      <c r="CU26">
        <f t="shared" si="27"/>
        <v>0</v>
      </c>
      <c r="CV26">
        <f t="shared" si="28"/>
        <v>0</v>
      </c>
      <c r="CW26">
        <f t="shared" si="29"/>
        <v>0</v>
      </c>
      <c r="CX26">
        <f t="shared" si="30"/>
        <v>0</v>
      </c>
      <c r="CY26">
        <f t="shared" si="31"/>
        <v>0</v>
      </c>
      <c r="CZ26">
        <f t="shared" si="32"/>
        <v>0</v>
      </c>
      <c r="DN26">
        <v>120</v>
      </c>
      <c r="DO26">
        <v>84</v>
      </c>
      <c r="DP26">
        <v>1.025</v>
      </c>
      <c r="DQ26">
        <v>1</v>
      </c>
      <c r="DU26">
        <v>1009</v>
      </c>
      <c r="DV26" t="s">
        <v>31</v>
      </c>
      <c r="DW26" t="s">
        <v>31</v>
      </c>
      <c r="DX26">
        <v>1000</v>
      </c>
      <c r="EE26">
        <v>22536109</v>
      </c>
      <c r="EF26">
        <v>30</v>
      </c>
      <c r="EG26" t="s">
        <v>20</v>
      </c>
      <c r="EH26">
        <v>0</v>
      </c>
      <c r="EJ26">
        <v>1</v>
      </c>
      <c r="EK26">
        <v>115</v>
      </c>
      <c r="EL26" t="s">
        <v>21</v>
      </c>
      <c r="EM26" t="s">
        <v>22</v>
      </c>
      <c r="EQ26">
        <v>0</v>
      </c>
      <c r="ER26">
        <v>1823.55</v>
      </c>
      <c r="ES26">
        <v>1823.55</v>
      </c>
      <c r="ET26">
        <v>0</v>
      </c>
      <c r="EU26">
        <v>0</v>
      </c>
      <c r="EV26">
        <v>0</v>
      </c>
      <c r="EW26">
        <v>0</v>
      </c>
      <c r="EX26">
        <v>0</v>
      </c>
      <c r="EZ26">
        <v>0</v>
      </c>
      <c r="FQ26">
        <v>0</v>
      </c>
      <c r="FR26">
        <f t="shared" si="33"/>
        <v>0</v>
      </c>
      <c r="FS26">
        <v>0</v>
      </c>
      <c r="FX26">
        <v>0</v>
      </c>
      <c r="FY26">
        <v>0</v>
      </c>
      <c r="GG26">
        <v>2</v>
      </c>
      <c r="GH26">
        <v>0</v>
      </c>
      <c r="GI26">
        <v>0</v>
      </c>
      <c r="GJ26">
        <v>0</v>
      </c>
      <c r="GK26">
        <f>ROUND(R26*(R12)/100,2)</f>
        <v>0</v>
      </c>
      <c r="GL26">
        <f t="shared" si="34"/>
        <v>0</v>
      </c>
      <c r="GM26">
        <f t="shared" si="35"/>
        <v>83.19</v>
      </c>
      <c r="GN26">
        <f t="shared" si="36"/>
        <v>83.19</v>
      </c>
      <c r="GO26">
        <f t="shared" si="37"/>
        <v>0</v>
      </c>
      <c r="GP26">
        <f t="shared" si="38"/>
        <v>0</v>
      </c>
      <c r="GR26">
        <v>0</v>
      </c>
    </row>
    <row r="27" spans="1:200" ht="12.75">
      <c r="A27">
        <v>18</v>
      </c>
      <c r="B27">
        <v>1</v>
      </c>
      <c r="C27">
        <v>6</v>
      </c>
      <c r="E27" t="s">
        <v>33</v>
      </c>
      <c r="F27" t="s">
        <v>34</v>
      </c>
      <c r="G27" t="s">
        <v>35</v>
      </c>
      <c r="H27" t="s">
        <v>26</v>
      </c>
      <c r="I27">
        <f>I24*J27</f>
        <v>0.11145599999999999</v>
      </c>
      <c r="J27">
        <v>3.44</v>
      </c>
      <c r="O27">
        <f t="shared" si="10"/>
        <v>53.02</v>
      </c>
      <c r="P27">
        <f t="shared" si="11"/>
        <v>53.02</v>
      </c>
      <c r="Q27">
        <f t="shared" si="12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>
        <f t="shared" si="16"/>
        <v>0</v>
      </c>
      <c r="V27">
        <f t="shared" si="17"/>
        <v>0</v>
      </c>
      <c r="W27">
        <f t="shared" si="18"/>
        <v>0</v>
      </c>
      <c r="X27">
        <f t="shared" si="19"/>
        <v>0</v>
      </c>
      <c r="Y27">
        <f t="shared" si="20"/>
        <v>0</v>
      </c>
      <c r="AA27">
        <v>22537192</v>
      </c>
      <c r="AB27">
        <f t="shared" si="21"/>
        <v>475.68</v>
      </c>
      <c r="AC27">
        <f t="shared" si="39"/>
        <v>475.68</v>
      </c>
      <c r="AD27">
        <f t="shared" si="39"/>
        <v>0</v>
      </c>
      <c r="AE27">
        <f t="shared" si="39"/>
        <v>0</v>
      </c>
      <c r="AF27">
        <f t="shared" si="39"/>
        <v>0</v>
      </c>
      <c r="AG27">
        <f t="shared" si="39"/>
        <v>0</v>
      </c>
      <c r="AH27">
        <f t="shared" si="39"/>
        <v>0</v>
      </c>
      <c r="AI27">
        <f t="shared" si="39"/>
        <v>0</v>
      </c>
      <c r="AJ27">
        <f t="shared" si="39"/>
        <v>0</v>
      </c>
      <c r="AK27">
        <v>475.68</v>
      </c>
      <c r="AL27">
        <v>475.68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1.025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J27" t="s">
        <v>36</v>
      </c>
      <c r="BM27">
        <v>115</v>
      </c>
      <c r="BN27">
        <v>0</v>
      </c>
      <c r="BO27" t="s">
        <v>34</v>
      </c>
      <c r="BP27">
        <v>1</v>
      </c>
      <c r="BQ27">
        <v>30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22"/>
        <v>53.02</v>
      </c>
      <c r="CQ27">
        <f t="shared" si="23"/>
        <v>475.68</v>
      </c>
      <c r="CR27">
        <f t="shared" si="24"/>
        <v>0</v>
      </c>
      <c r="CS27">
        <f t="shared" si="25"/>
        <v>0</v>
      </c>
      <c r="CT27">
        <f t="shared" si="26"/>
        <v>0</v>
      </c>
      <c r="CU27">
        <f t="shared" si="27"/>
        <v>0</v>
      </c>
      <c r="CV27">
        <f t="shared" si="28"/>
        <v>0</v>
      </c>
      <c r="CW27">
        <f t="shared" si="29"/>
        <v>0</v>
      </c>
      <c r="CX27">
        <f t="shared" si="30"/>
        <v>0</v>
      </c>
      <c r="CY27">
        <f t="shared" si="31"/>
        <v>0</v>
      </c>
      <c r="CZ27">
        <f t="shared" si="32"/>
        <v>0</v>
      </c>
      <c r="DN27">
        <v>120</v>
      </c>
      <c r="DO27">
        <v>84</v>
      </c>
      <c r="DP27">
        <v>1.025</v>
      </c>
      <c r="DQ27">
        <v>1</v>
      </c>
      <c r="DU27">
        <v>1007</v>
      </c>
      <c r="DV27" t="s">
        <v>26</v>
      </c>
      <c r="DW27" t="s">
        <v>26</v>
      </c>
      <c r="DX27">
        <v>1</v>
      </c>
      <c r="EE27">
        <v>22536109</v>
      </c>
      <c r="EF27">
        <v>30</v>
      </c>
      <c r="EG27" t="s">
        <v>20</v>
      </c>
      <c r="EH27">
        <v>0</v>
      </c>
      <c r="EJ27">
        <v>1</v>
      </c>
      <c r="EK27">
        <v>115</v>
      </c>
      <c r="EL27" t="s">
        <v>21</v>
      </c>
      <c r="EM27" t="s">
        <v>22</v>
      </c>
      <c r="EQ27">
        <v>0</v>
      </c>
      <c r="ER27">
        <v>475.68</v>
      </c>
      <c r="ES27">
        <v>475.68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33"/>
        <v>0</v>
      </c>
      <c r="FS27">
        <v>0</v>
      </c>
      <c r="FX27">
        <v>0</v>
      </c>
      <c r="FY27">
        <v>0</v>
      </c>
      <c r="GG27">
        <v>2</v>
      </c>
      <c r="GH27">
        <v>0</v>
      </c>
      <c r="GI27">
        <v>0</v>
      </c>
      <c r="GJ27">
        <v>0</v>
      </c>
      <c r="GK27">
        <f>ROUND(R27*(R12)/100,2)</f>
        <v>0</v>
      </c>
      <c r="GL27">
        <f t="shared" si="34"/>
        <v>0</v>
      </c>
      <c r="GM27">
        <f t="shared" si="35"/>
        <v>53.02</v>
      </c>
      <c r="GN27">
        <f t="shared" si="36"/>
        <v>53.02</v>
      </c>
      <c r="GO27">
        <f t="shared" si="37"/>
        <v>0</v>
      </c>
      <c r="GP27">
        <f t="shared" si="38"/>
        <v>0</v>
      </c>
      <c r="GR27">
        <v>0</v>
      </c>
    </row>
    <row r="28" spans="1:200" ht="12.75">
      <c r="A28">
        <v>18</v>
      </c>
      <c r="B28">
        <v>1</v>
      </c>
      <c r="C28">
        <v>5</v>
      </c>
      <c r="E28" t="s">
        <v>37</v>
      </c>
      <c r="F28" t="s">
        <v>38</v>
      </c>
      <c r="G28" t="s">
        <v>39</v>
      </c>
      <c r="H28" t="s">
        <v>26</v>
      </c>
      <c r="I28">
        <f>I24*J28</f>
        <v>0.002592</v>
      </c>
      <c r="J28">
        <v>0.08</v>
      </c>
      <c r="O28">
        <f t="shared" si="10"/>
        <v>1.14</v>
      </c>
      <c r="P28">
        <f t="shared" si="11"/>
        <v>1.14</v>
      </c>
      <c r="Q28">
        <f t="shared" si="12"/>
        <v>0</v>
      </c>
      <c r="R28">
        <f t="shared" si="13"/>
        <v>0</v>
      </c>
      <c r="S28">
        <f t="shared" si="14"/>
        <v>0</v>
      </c>
      <c r="T28">
        <f t="shared" si="15"/>
        <v>0</v>
      </c>
      <c r="U28">
        <f t="shared" si="16"/>
        <v>0</v>
      </c>
      <c r="V28">
        <f t="shared" si="17"/>
        <v>0</v>
      </c>
      <c r="W28">
        <f t="shared" si="18"/>
        <v>0</v>
      </c>
      <c r="X28">
        <f t="shared" si="19"/>
        <v>0</v>
      </c>
      <c r="Y28">
        <f t="shared" si="20"/>
        <v>0</v>
      </c>
      <c r="AA28">
        <v>22537192</v>
      </c>
      <c r="AB28">
        <f t="shared" si="21"/>
        <v>441.1</v>
      </c>
      <c r="AC28">
        <f t="shared" si="39"/>
        <v>441.1</v>
      </c>
      <c r="AD28">
        <f t="shared" si="39"/>
        <v>0</v>
      </c>
      <c r="AE28">
        <f t="shared" si="39"/>
        <v>0</v>
      </c>
      <c r="AF28">
        <f t="shared" si="39"/>
        <v>0</v>
      </c>
      <c r="AG28">
        <f t="shared" si="39"/>
        <v>0</v>
      </c>
      <c r="AH28">
        <f t="shared" si="39"/>
        <v>0</v>
      </c>
      <c r="AI28">
        <f t="shared" si="39"/>
        <v>0</v>
      </c>
      <c r="AJ28">
        <f t="shared" si="39"/>
        <v>0</v>
      </c>
      <c r="AK28">
        <v>441.1</v>
      </c>
      <c r="AL28">
        <v>441.1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1.025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3</v>
      </c>
      <c r="BI28">
        <v>1</v>
      </c>
      <c r="BJ28" t="s">
        <v>40</v>
      </c>
      <c r="BM28">
        <v>115</v>
      </c>
      <c r="BN28">
        <v>0</v>
      </c>
      <c r="BO28" t="s">
        <v>38</v>
      </c>
      <c r="BP28">
        <v>1</v>
      </c>
      <c r="BQ28">
        <v>30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0</v>
      </c>
      <c r="CA28">
        <v>0</v>
      </c>
      <c r="CF28">
        <v>0</v>
      </c>
      <c r="CG28">
        <v>0</v>
      </c>
      <c r="CM28">
        <v>0</v>
      </c>
      <c r="CO28">
        <v>0</v>
      </c>
      <c r="CP28">
        <f t="shared" si="22"/>
        <v>1.14</v>
      </c>
      <c r="CQ28">
        <f t="shared" si="23"/>
        <v>441.1</v>
      </c>
      <c r="CR28">
        <f t="shared" si="24"/>
        <v>0</v>
      </c>
      <c r="CS28">
        <f t="shared" si="25"/>
        <v>0</v>
      </c>
      <c r="CT28">
        <f t="shared" si="26"/>
        <v>0</v>
      </c>
      <c r="CU28">
        <f t="shared" si="27"/>
        <v>0</v>
      </c>
      <c r="CV28">
        <f t="shared" si="28"/>
        <v>0</v>
      </c>
      <c r="CW28">
        <f t="shared" si="29"/>
        <v>0</v>
      </c>
      <c r="CX28">
        <f t="shared" si="30"/>
        <v>0</v>
      </c>
      <c r="CY28">
        <f t="shared" si="31"/>
        <v>0</v>
      </c>
      <c r="CZ28">
        <f t="shared" si="32"/>
        <v>0</v>
      </c>
      <c r="DN28">
        <v>120</v>
      </c>
      <c r="DO28">
        <v>84</v>
      </c>
      <c r="DP28">
        <v>1.025</v>
      </c>
      <c r="DQ28">
        <v>1</v>
      </c>
      <c r="DU28">
        <v>1007</v>
      </c>
      <c r="DV28" t="s">
        <v>26</v>
      </c>
      <c r="DW28" t="s">
        <v>26</v>
      </c>
      <c r="DX28">
        <v>1</v>
      </c>
      <c r="EE28">
        <v>22536109</v>
      </c>
      <c r="EF28">
        <v>30</v>
      </c>
      <c r="EG28" t="s">
        <v>20</v>
      </c>
      <c r="EH28">
        <v>0</v>
      </c>
      <c r="EJ28">
        <v>1</v>
      </c>
      <c r="EK28">
        <v>115</v>
      </c>
      <c r="EL28" t="s">
        <v>21</v>
      </c>
      <c r="EM28" t="s">
        <v>22</v>
      </c>
      <c r="EQ28">
        <v>0</v>
      </c>
      <c r="ER28">
        <v>441.1</v>
      </c>
      <c r="ES28">
        <v>441.1</v>
      </c>
      <c r="ET28">
        <v>0</v>
      </c>
      <c r="EU28">
        <v>0</v>
      </c>
      <c r="EV28">
        <v>0</v>
      </c>
      <c r="EW28">
        <v>0</v>
      </c>
      <c r="EX28">
        <v>0</v>
      </c>
      <c r="EZ28">
        <v>0</v>
      </c>
      <c r="FQ28">
        <v>0</v>
      </c>
      <c r="FR28">
        <f t="shared" si="33"/>
        <v>0</v>
      </c>
      <c r="FS28">
        <v>0</v>
      </c>
      <c r="FX28">
        <v>0</v>
      </c>
      <c r="FY28">
        <v>0</v>
      </c>
      <c r="GG28">
        <v>2</v>
      </c>
      <c r="GH28">
        <v>0</v>
      </c>
      <c r="GI28">
        <v>0</v>
      </c>
      <c r="GJ28">
        <v>0</v>
      </c>
      <c r="GK28">
        <f>ROUND(R28*(R12)/100,2)</f>
        <v>0</v>
      </c>
      <c r="GL28">
        <f t="shared" si="34"/>
        <v>0</v>
      </c>
      <c r="GM28">
        <f t="shared" si="35"/>
        <v>1.14</v>
      </c>
      <c r="GN28">
        <f t="shared" si="36"/>
        <v>1.14</v>
      </c>
      <c r="GO28">
        <f t="shared" si="37"/>
        <v>0</v>
      </c>
      <c r="GP28">
        <f t="shared" si="38"/>
        <v>0</v>
      </c>
      <c r="GR28">
        <v>0</v>
      </c>
    </row>
    <row r="29" spans="1:200" ht="12.75">
      <c r="A29">
        <v>17</v>
      </c>
      <c r="B29">
        <v>1</v>
      </c>
      <c r="C29">
        <f>ROW(SmtRes!A10)</f>
        <v>10</v>
      </c>
      <c r="D29">
        <f>ROW(EtalonRes!A11)</f>
        <v>11</v>
      </c>
      <c r="E29" t="s">
        <v>41</v>
      </c>
      <c r="F29" t="s">
        <v>42</v>
      </c>
      <c r="G29" t="s">
        <v>43</v>
      </c>
      <c r="H29" t="s">
        <v>44</v>
      </c>
      <c r="I29">
        <v>5.75</v>
      </c>
      <c r="J29">
        <v>0</v>
      </c>
      <c r="O29">
        <f t="shared" si="10"/>
        <v>475.81</v>
      </c>
      <c r="P29">
        <f t="shared" si="11"/>
        <v>434.99</v>
      </c>
      <c r="Q29">
        <f t="shared" si="12"/>
        <v>2.96</v>
      </c>
      <c r="R29">
        <f t="shared" si="13"/>
        <v>0.29</v>
      </c>
      <c r="S29">
        <f t="shared" si="14"/>
        <v>37.86</v>
      </c>
      <c r="T29">
        <f t="shared" si="15"/>
        <v>0</v>
      </c>
      <c r="U29">
        <f t="shared" si="16"/>
        <v>2.9499225</v>
      </c>
      <c r="V29">
        <f t="shared" si="17"/>
        <v>0</v>
      </c>
      <c r="W29">
        <f t="shared" si="18"/>
        <v>0</v>
      </c>
      <c r="X29">
        <f t="shared" si="19"/>
        <v>36.72</v>
      </c>
      <c r="Y29">
        <f t="shared" si="20"/>
        <v>25.37</v>
      </c>
      <c r="AA29">
        <v>22537192</v>
      </c>
      <c r="AB29">
        <f t="shared" si="21"/>
        <v>82.28</v>
      </c>
      <c r="AC29">
        <f>(ES29)</f>
        <v>75.5</v>
      </c>
      <c r="AD29">
        <f aca="true" t="shared" si="40" ref="AD29:AF30">((ET29*1.2))</f>
        <v>0.49199999999999994</v>
      </c>
      <c r="AE29">
        <f t="shared" si="40"/>
        <v>0.048</v>
      </c>
      <c r="AF29">
        <f t="shared" si="40"/>
        <v>6.288</v>
      </c>
      <c r="AG29">
        <f>(AP29)</f>
        <v>0</v>
      </c>
      <c r="AH29">
        <f>(EW29)</f>
        <v>0.49</v>
      </c>
      <c r="AI29">
        <f>((EX29*1.2))</f>
        <v>0</v>
      </c>
      <c r="AJ29">
        <f>(AS29)</f>
        <v>0</v>
      </c>
      <c r="AK29">
        <v>81.14999999999999</v>
      </c>
      <c r="AL29">
        <v>75.5</v>
      </c>
      <c r="AM29">
        <v>0.41</v>
      </c>
      <c r="AN29">
        <v>0.04</v>
      </c>
      <c r="AO29">
        <v>5.24</v>
      </c>
      <c r="AP29">
        <v>0</v>
      </c>
      <c r="AQ29">
        <v>0.49</v>
      </c>
      <c r="AR29">
        <v>0</v>
      </c>
      <c r="AS29">
        <v>0</v>
      </c>
      <c r="AT29">
        <v>97</v>
      </c>
      <c r="AU29">
        <v>67</v>
      </c>
      <c r="AV29">
        <v>1.047</v>
      </c>
      <c r="AW29">
        <v>1.002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45</v>
      </c>
      <c r="BM29">
        <v>405</v>
      </c>
      <c r="BN29">
        <v>0</v>
      </c>
      <c r="BO29" t="s">
        <v>42</v>
      </c>
      <c r="BP29">
        <v>1</v>
      </c>
      <c r="BQ29">
        <v>60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97</v>
      </c>
      <c r="CA29">
        <v>67</v>
      </c>
      <c r="CF29">
        <v>0</v>
      </c>
      <c r="CG29">
        <v>0</v>
      </c>
      <c r="CM29">
        <v>0</v>
      </c>
      <c r="CO29">
        <v>0</v>
      </c>
      <c r="CP29">
        <f t="shared" si="22"/>
        <v>475.81</v>
      </c>
      <c r="CQ29">
        <f t="shared" si="23"/>
        <v>75.651</v>
      </c>
      <c r="CR29">
        <f t="shared" si="24"/>
        <v>0.5151239999999999</v>
      </c>
      <c r="CS29">
        <f t="shared" si="25"/>
        <v>0.050255999999999995</v>
      </c>
      <c r="CT29">
        <f t="shared" si="26"/>
        <v>6.583536</v>
      </c>
      <c r="CU29">
        <f t="shared" si="27"/>
        <v>0</v>
      </c>
      <c r="CV29">
        <f t="shared" si="28"/>
        <v>0.51303</v>
      </c>
      <c r="CW29">
        <f t="shared" si="29"/>
        <v>0</v>
      </c>
      <c r="CX29">
        <f t="shared" si="30"/>
        <v>0</v>
      </c>
      <c r="CY29">
        <f t="shared" si="31"/>
        <v>36.724199999999996</v>
      </c>
      <c r="CZ29">
        <f t="shared" si="32"/>
        <v>25.366200000000003</v>
      </c>
      <c r="DE29" t="s">
        <v>46</v>
      </c>
      <c r="DF29" t="s">
        <v>46</v>
      </c>
      <c r="DG29" t="s">
        <v>46</v>
      </c>
      <c r="DJ29" t="s">
        <v>46</v>
      </c>
      <c r="DN29">
        <v>91</v>
      </c>
      <c r="DO29">
        <v>70</v>
      </c>
      <c r="DP29">
        <v>1.047</v>
      </c>
      <c r="DQ29">
        <v>1.002</v>
      </c>
      <c r="DU29">
        <v>1003</v>
      </c>
      <c r="DV29" t="s">
        <v>44</v>
      </c>
      <c r="DW29" t="s">
        <v>44</v>
      </c>
      <c r="DX29">
        <v>1</v>
      </c>
      <c r="EE29">
        <v>22536399</v>
      </c>
      <c r="EF29">
        <v>60</v>
      </c>
      <c r="EG29" t="s">
        <v>47</v>
      </c>
      <c r="EH29">
        <v>0</v>
      </c>
      <c r="EJ29">
        <v>1</v>
      </c>
      <c r="EK29">
        <v>405</v>
      </c>
      <c r="EL29" t="s">
        <v>48</v>
      </c>
      <c r="EM29" t="s">
        <v>49</v>
      </c>
      <c r="EQ29">
        <v>0</v>
      </c>
      <c r="ER29">
        <v>81.14999999999999</v>
      </c>
      <c r="ES29">
        <v>75.5</v>
      </c>
      <c r="ET29">
        <v>0.41</v>
      </c>
      <c r="EU29">
        <v>0.04</v>
      </c>
      <c r="EV29">
        <v>5.24</v>
      </c>
      <c r="EW29">
        <v>0.49</v>
      </c>
      <c r="EX29">
        <v>0</v>
      </c>
      <c r="EY29">
        <v>0</v>
      </c>
      <c r="EZ29">
        <v>0</v>
      </c>
      <c r="FQ29">
        <v>0</v>
      </c>
      <c r="FR29">
        <f t="shared" si="33"/>
        <v>0</v>
      </c>
      <c r="FS29">
        <v>0</v>
      </c>
      <c r="FX29">
        <v>97</v>
      </c>
      <c r="FY29">
        <v>67</v>
      </c>
      <c r="GG29">
        <v>2</v>
      </c>
      <c r="GH29">
        <v>0</v>
      </c>
      <c r="GI29">
        <v>0</v>
      </c>
      <c r="GJ29">
        <v>0</v>
      </c>
      <c r="GK29">
        <f>ROUND(R29*(R12)/100,2)</f>
        <v>0.52</v>
      </c>
      <c r="GL29">
        <f t="shared" si="34"/>
        <v>0</v>
      </c>
      <c r="GM29">
        <f t="shared" si="35"/>
        <v>538.42</v>
      </c>
      <c r="GN29">
        <f t="shared" si="36"/>
        <v>538.42</v>
      </c>
      <c r="GO29">
        <f t="shared" si="37"/>
        <v>0</v>
      </c>
      <c r="GP29">
        <f t="shared" si="38"/>
        <v>0</v>
      </c>
      <c r="GR29">
        <v>0</v>
      </c>
    </row>
    <row r="30" spans="1:200" ht="12.75">
      <c r="A30">
        <v>17</v>
      </c>
      <c r="B30">
        <v>1</v>
      </c>
      <c r="C30">
        <f>ROW(SmtRes!A14)</f>
        <v>14</v>
      </c>
      <c r="D30">
        <f>ROW(EtalonRes!A14)</f>
        <v>14</v>
      </c>
      <c r="E30" t="s">
        <v>50</v>
      </c>
      <c r="F30" t="s">
        <v>51</v>
      </c>
      <c r="G30" t="s">
        <v>52</v>
      </c>
      <c r="H30" t="s">
        <v>16</v>
      </c>
      <c r="I30">
        <v>0.0402</v>
      </c>
      <c r="J30">
        <v>0</v>
      </c>
      <c r="O30">
        <f t="shared" si="10"/>
        <v>223.99</v>
      </c>
      <c r="P30">
        <f t="shared" si="11"/>
        <v>0</v>
      </c>
      <c r="Q30">
        <f t="shared" si="12"/>
        <v>0</v>
      </c>
      <c r="R30">
        <f t="shared" si="13"/>
        <v>0</v>
      </c>
      <c r="S30">
        <f t="shared" si="14"/>
        <v>223.99</v>
      </c>
      <c r="T30">
        <f t="shared" si="15"/>
        <v>0</v>
      </c>
      <c r="U30">
        <f t="shared" si="16"/>
        <v>15.872165999999996</v>
      </c>
      <c r="V30">
        <f t="shared" si="17"/>
        <v>0</v>
      </c>
      <c r="W30">
        <f t="shared" si="18"/>
        <v>0</v>
      </c>
      <c r="X30">
        <f t="shared" si="19"/>
        <v>239.67</v>
      </c>
      <c r="Y30">
        <f t="shared" si="20"/>
        <v>136.63</v>
      </c>
      <c r="AA30">
        <v>22537192</v>
      </c>
      <c r="AB30">
        <f t="shared" si="21"/>
        <v>5435.94</v>
      </c>
      <c r="AC30">
        <f>(ES30)</f>
        <v>0</v>
      </c>
      <c r="AD30">
        <f t="shared" si="40"/>
        <v>0</v>
      </c>
      <c r="AE30">
        <f t="shared" si="40"/>
        <v>0</v>
      </c>
      <c r="AF30">
        <f t="shared" si="40"/>
        <v>5435.94</v>
      </c>
      <c r="AG30">
        <f>(AP30)</f>
        <v>0</v>
      </c>
      <c r="AH30">
        <f>(EW30)</f>
        <v>385.2</v>
      </c>
      <c r="AI30">
        <f>((EX30*1.2))</f>
        <v>0</v>
      </c>
      <c r="AJ30">
        <f>(AS30)</f>
        <v>0</v>
      </c>
      <c r="AK30">
        <v>4529.95</v>
      </c>
      <c r="AL30">
        <v>0</v>
      </c>
      <c r="AM30">
        <v>0</v>
      </c>
      <c r="AN30">
        <v>0</v>
      </c>
      <c r="AO30">
        <v>4529.95</v>
      </c>
      <c r="AP30">
        <v>0</v>
      </c>
      <c r="AQ30">
        <v>385.2</v>
      </c>
      <c r="AR30">
        <v>0</v>
      </c>
      <c r="AS30">
        <v>0</v>
      </c>
      <c r="AT30">
        <v>107</v>
      </c>
      <c r="AU30">
        <v>61</v>
      </c>
      <c r="AV30">
        <v>1.025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53</v>
      </c>
      <c r="BM30">
        <v>454</v>
      </c>
      <c r="BN30">
        <v>0</v>
      </c>
      <c r="BO30" t="s">
        <v>51</v>
      </c>
      <c r="BP30">
        <v>1</v>
      </c>
      <c r="BQ30">
        <v>60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107</v>
      </c>
      <c r="CA30">
        <v>61</v>
      </c>
      <c r="CF30">
        <v>0</v>
      </c>
      <c r="CG30">
        <v>0</v>
      </c>
      <c r="CM30">
        <v>0</v>
      </c>
      <c r="CO30">
        <v>0</v>
      </c>
      <c r="CP30">
        <f t="shared" si="22"/>
        <v>223.99</v>
      </c>
      <c r="CQ30">
        <f t="shared" si="23"/>
        <v>0</v>
      </c>
      <c r="CR30">
        <f t="shared" si="24"/>
        <v>0</v>
      </c>
      <c r="CS30">
        <f t="shared" si="25"/>
        <v>0</v>
      </c>
      <c r="CT30">
        <f t="shared" si="26"/>
        <v>5571.838499999999</v>
      </c>
      <c r="CU30">
        <f t="shared" si="27"/>
        <v>0</v>
      </c>
      <c r="CV30">
        <f t="shared" si="28"/>
        <v>394.8299999999999</v>
      </c>
      <c r="CW30">
        <f t="shared" si="29"/>
        <v>0</v>
      </c>
      <c r="CX30">
        <f t="shared" si="30"/>
        <v>0</v>
      </c>
      <c r="CY30">
        <f t="shared" si="31"/>
        <v>239.66930000000002</v>
      </c>
      <c r="CZ30">
        <f t="shared" si="32"/>
        <v>136.6339</v>
      </c>
      <c r="DE30" t="s">
        <v>46</v>
      </c>
      <c r="DF30" t="s">
        <v>46</v>
      </c>
      <c r="DG30" t="s">
        <v>46</v>
      </c>
      <c r="DJ30" t="s">
        <v>46</v>
      </c>
      <c r="DN30">
        <v>100</v>
      </c>
      <c r="DO30">
        <v>64</v>
      </c>
      <c r="DP30">
        <v>1.025</v>
      </c>
      <c r="DQ30">
        <v>1</v>
      </c>
      <c r="DU30">
        <v>1005</v>
      </c>
      <c r="DV30" t="s">
        <v>16</v>
      </c>
      <c r="DW30" t="s">
        <v>16</v>
      </c>
      <c r="DX30">
        <v>100</v>
      </c>
      <c r="EE30">
        <v>22536448</v>
      </c>
      <c r="EF30">
        <v>60</v>
      </c>
      <c r="EG30" t="s">
        <v>47</v>
      </c>
      <c r="EH30">
        <v>0</v>
      </c>
      <c r="EJ30">
        <v>1</v>
      </c>
      <c r="EK30">
        <v>454</v>
      </c>
      <c r="EL30" t="s">
        <v>54</v>
      </c>
      <c r="EM30" t="s">
        <v>55</v>
      </c>
      <c r="EQ30">
        <v>0</v>
      </c>
      <c r="ER30">
        <v>4529.95</v>
      </c>
      <c r="ES30">
        <v>0</v>
      </c>
      <c r="ET30">
        <v>0</v>
      </c>
      <c r="EU30">
        <v>0</v>
      </c>
      <c r="EV30">
        <v>4529.95</v>
      </c>
      <c r="EW30">
        <v>385.2</v>
      </c>
      <c r="EX30">
        <v>0</v>
      </c>
      <c r="EY30">
        <v>0</v>
      </c>
      <c r="EZ30">
        <v>0</v>
      </c>
      <c r="FQ30">
        <v>0</v>
      </c>
      <c r="FR30">
        <f t="shared" si="33"/>
        <v>0</v>
      </c>
      <c r="FS30">
        <v>0</v>
      </c>
      <c r="FX30">
        <v>107</v>
      </c>
      <c r="FY30">
        <v>61</v>
      </c>
      <c r="GG30">
        <v>2</v>
      </c>
      <c r="GH30">
        <v>0</v>
      </c>
      <c r="GI30">
        <v>0</v>
      </c>
      <c r="GJ30">
        <v>0</v>
      </c>
      <c r="GK30">
        <f>ROUND(R30*(R12)/100,2)</f>
        <v>0</v>
      </c>
      <c r="GL30">
        <f t="shared" si="34"/>
        <v>0</v>
      </c>
      <c r="GM30">
        <f t="shared" si="35"/>
        <v>600.29</v>
      </c>
      <c r="GN30">
        <f t="shared" si="36"/>
        <v>600.29</v>
      </c>
      <c r="GO30">
        <f t="shared" si="37"/>
        <v>0</v>
      </c>
      <c r="GP30">
        <f t="shared" si="38"/>
        <v>0</v>
      </c>
      <c r="GR30">
        <v>0</v>
      </c>
    </row>
    <row r="31" spans="1:200" ht="12.75">
      <c r="A31">
        <v>18</v>
      </c>
      <c r="B31">
        <v>1</v>
      </c>
      <c r="C31">
        <v>14</v>
      </c>
      <c r="E31" t="s">
        <v>56</v>
      </c>
      <c r="F31" t="s">
        <v>38</v>
      </c>
      <c r="G31" t="s">
        <v>39</v>
      </c>
      <c r="H31" t="s">
        <v>26</v>
      </c>
      <c r="I31">
        <f>I30*J31</f>
        <v>0.17688</v>
      </c>
      <c r="J31">
        <v>4.4</v>
      </c>
      <c r="O31">
        <f t="shared" si="10"/>
        <v>78.02</v>
      </c>
      <c r="P31">
        <f t="shared" si="11"/>
        <v>78.02</v>
      </c>
      <c r="Q31">
        <f t="shared" si="12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>
        <f t="shared" si="16"/>
        <v>0</v>
      </c>
      <c r="V31">
        <f t="shared" si="17"/>
        <v>0</v>
      </c>
      <c r="W31">
        <f t="shared" si="18"/>
        <v>0</v>
      </c>
      <c r="X31">
        <f t="shared" si="19"/>
        <v>0</v>
      </c>
      <c r="Y31">
        <f t="shared" si="20"/>
        <v>0</v>
      </c>
      <c r="AA31">
        <v>22537192</v>
      </c>
      <c r="AB31">
        <f t="shared" si="21"/>
        <v>441.1</v>
      </c>
      <c r="AC31">
        <f aca="true" t="shared" si="41" ref="AC31:AJ31">AL31</f>
        <v>441.1</v>
      </c>
      <c r="AD31">
        <f t="shared" si="41"/>
        <v>0</v>
      </c>
      <c r="AE31">
        <f t="shared" si="41"/>
        <v>0</v>
      </c>
      <c r="AF31">
        <f t="shared" si="41"/>
        <v>0</v>
      </c>
      <c r="AG31">
        <f t="shared" si="41"/>
        <v>0</v>
      </c>
      <c r="AH31">
        <f t="shared" si="41"/>
        <v>0</v>
      </c>
      <c r="AI31">
        <f t="shared" si="41"/>
        <v>0</v>
      </c>
      <c r="AJ31">
        <f t="shared" si="41"/>
        <v>0</v>
      </c>
      <c r="AK31">
        <v>441.1</v>
      </c>
      <c r="AL31">
        <v>441.1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1.025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J31" t="s">
        <v>40</v>
      </c>
      <c r="BM31">
        <v>454</v>
      </c>
      <c r="BN31">
        <v>0</v>
      </c>
      <c r="BO31" t="s">
        <v>38</v>
      </c>
      <c r="BP31">
        <v>1</v>
      </c>
      <c r="BQ31">
        <v>60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22"/>
        <v>78.02</v>
      </c>
      <c r="CQ31">
        <f t="shared" si="23"/>
        <v>441.1</v>
      </c>
      <c r="CR31">
        <f t="shared" si="24"/>
        <v>0</v>
      </c>
      <c r="CS31">
        <f t="shared" si="25"/>
        <v>0</v>
      </c>
      <c r="CT31">
        <f t="shared" si="26"/>
        <v>0</v>
      </c>
      <c r="CU31">
        <f t="shared" si="27"/>
        <v>0</v>
      </c>
      <c r="CV31">
        <f t="shared" si="28"/>
        <v>0</v>
      </c>
      <c r="CW31">
        <f t="shared" si="29"/>
        <v>0</v>
      </c>
      <c r="CX31">
        <f t="shared" si="30"/>
        <v>0</v>
      </c>
      <c r="CY31">
        <f t="shared" si="31"/>
        <v>0</v>
      </c>
      <c r="CZ31">
        <f t="shared" si="32"/>
        <v>0</v>
      </c>
      <c r="DN31">
        <v>100</v>
      </c>
      <c r="DO31">
        <v>64</v>
      </c>
      <c r="DP31">
        <v>1.025</v>
      </c>
      <c r="DQ31">
        <v>1</v>
      </c>
      <c r="DU31">
        <v>1007</v>
      </c>
      <c r="DV31" t="s">
        <v>26</v>
      </c>
      <c r="DW31" t="s">
        <v>26</v>
      </c>
      <c r="DX31">
        <v>1</v>
      </c>
      <c r="EE31">
        <v>22536448</v>
      </c>
      <c r="EF31">
        <v>60</v>
      </c>
      <c r="EG31" t="s">
        <v>47</v>
      </c>
      <c r="EH31">
        <v>0</v>
      </c>
      <c r="EJ31">
        <v>1</v>
      </c>
      <c r="EK31">
        <v>454</v>
      </c>
      <c r="EL31" t="s">
        <v>54</v>
      </c>
      <c r="EM31" t="s">
        <v>55</v>
      </c>
      <c r="EQ31">
        <v>0</v>
      </c>
      <c r="ER31">
        <v>441.1</v>
      </c>
      <c r="ES31">
        <v>441.1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0</v>
      </c>
      <c r="FQ31">
        <v>0</v>
      </c>
      <c r="FR31">
        <f t="shared" si="33"/>
        <v>0</v>
      </c>
      <c r="FS31">
        <v>0</v>
      </c>
      <c r="FX31">
        <v>0</v>
      </c>
      <c r="FY31">
        <v>0</v>
      </c>
      <c r="GG31">
        <v>2</v>
      </c>
      <c r="GH31">
        <v>0</v>
      </c>
      <c r="GI31">
        <v>0</v>
      </c>
      <c r="GJ31">
        <v>0</v>
      </c>
      <c r="GK31">
        <f>ROUND(R31*(R12)/100,2)</f>
        <v>0</v>
      </c>
      <c r="GL31">
        <f t="shared" si="34"/>
        <v>0</v>
      </c>
      <c r="GM31">
        <f t="shared" si="35"/>
        <v>78.02</v>
      </c>
      <c r="GN31">
        <f t="shared" si="36"/>
        <v>78.02</v>
      </c>
      <c r="GO31">
        <f t="shared" si="37"/>
        <v>0</v>
      </c>
      <c r="GP31">
        <f t="shared" si="38"/>
        <v>0</v>
      </c>
      <c r="GR31">
        <v>0</v>
      </c>
    </row>
    <row r="32" spans="1:200" ht="12.75">
      <c r="A32">
        <v>17</v>
      </c>
      <c r="B32">
        <v>1</v>
      </c>
      <c r="C32">
        <f>ROW(SmtRes!A20)</f>
        <v>20</v>
      </c>
      <c r="D32">
        <f>ROW(EtalonRes!A20)</f>
        <v>20</v>
      </c>
      <c r="E32" t="s">
        <v>57</v>
      </c>
      <c r="F32" t="s">
        <v>58</v>
      </c>
      <c r="G32" t="s">
        <v>59</v>
      </c>
      <c r="H32" t="s">
        <v>16</v>
      </c>
      <c r="I32">
        <v>0.0402</v>
      </c>
      <c r="J32">
        <v>0</v>
      </c>
      <c r="O32">
        <f t="shared" si="10"/>
        <v>22.1</v>
      </c>
      <c r="P32">
        <f t="shared" si="11"/>
        <v>0.05</v>
      </c>
      <c r="Q32">
        <f t="shared" si="12"/>
        <v>0.04</v>
      </c>
      <c r="R32">
        <f t="shared" si="13"/>
        <v>0.01</v>
      </c>
      <c r="S32">
        <f t="shared" si="14"/>
        <v>22.01</v>
      </c>
      <c r="T32">
        <f t="shared" si="15"/>
        <v>0</v>
      </c>
      <c r="U32">
        <f t="shared" si="16"/>
        <v>1.9191228749999996</v>
      </c>
      <c r="V32">
        <f t="shared" si="17"/>
        <v>0</v>
      </c>
      <c r="W32">
        <f t="shared" si="18"/>
        <v>0</v>
      </c>
      <c r="X32">
        <f t="shared" si="19"/>
        <v>23.55</v>
      </c>
      <c r="Y32">
        <f t="shared" si="20"/>
        <v>13.43</v>
      </c>
      <c r="AA32">
        <v>22537192</v>
      </c>
      <c r="AB32">
        <f t="shared" si="21"/>
        <v>536.336</v>
      </c>
      <c r="AC32">
        <f>(ES32)</f>
        <v>1.19</v>
      </c>
      <c r="AD32">
        <f>((ET32*1.25))</f>
        <v>0.925</v>
      </c>
      <c r="AE32">
        <f>((EU32*1.25))</f>
        <v>0.22499999999999998</v>
      </c>
      <c r="AF32">
        <f>((EV32*1.15))</f>
        <v>534.221</v>
      </c>
      <c r="AG32">
        <f>(AP32)</f>
        <v>0</v>
      </c>
      <c r="AH32">
        <f>((EW32*1.15))</f>
        <v>46.574999999999996</v>
      </c>
      <c r="AI32">
        <f>((EX32*1.25))</f>
        <v>0</v>
      </c>
      <c r="AJ32">
        <f>(AS32)</f>
        <v>0</v>
      </c>
      <c r="AK32">
        <v>466.47</v>
      </c>
      <c r="AL32">
        <v>1.19</v>
      </c>
      <c r="AM32">
        <v>0.74</v>
      </c>
      <c r="AN32">
        <v>0.18</v>
      </c>
      <c r="AO32">
        <v>464.54</v>
      </c>
      <c r="AP32">
        <v>0</v>
      </c>
      <c r="AQ32">
        <v>40.5</v>
      </c>
      <c r="AR32">
        <v>0</v>
      </c>
      <c r="AS32">
        <v>0</v>
      </c>
      <c r="AT32">
        <v>107</v>
      </c>
      <c r="AU32">
        <v>61</v>
      </c>
      <c r="AV32">
        <v>1.025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60</v>
      </c>
      <c r="BM32">
        <v>117</v>
      </c>
      <c r="BN32">
        <v>0</v>
      </c>
      <c r="BO32" t="s">
        <v>58</v>
      </c>
      <c r="BP32">
        <v>1</v>
      </c>
      <c r="BQ32">
        <v>30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107</v>
      </c>
      <c r="CA32">
        <v>61</v>
      </c>
      <c r="CF32">
        <v>0</v>
      </c>
      <c r="CG32">
        <v>0</v>
      </c>
      <c r="CM32">
        <v>0</v>
      </c>
      <c r="CO32">
        <v>0</v>
      </c>
      <c r="CP32">
        <f t="shared" si="22"/>
        <v>22.1</v>
      </c>
      <c r="CQ32">
        <f t="shared" si="23"/>
        <v>1.19</v>
      </c>
      <c r="CR32">
        <f t="shared" si="24"/>
        <v>0.948125</v>
      </c>
      <c r="CS32">
        <f t="shared" si="25"/>
        <v>0.23062499999999997</v>
      </c>
      <c r="CT32">
        <f t="shared" si="26"/>
        <v>547.576525</v>
      </c>
      <c r="CU32">
        <f t="shared" si="27"/>
        <v>0</v>
      </c>
      <c r="CV32">
        <f t="shared" si="28"/>
        <v>47.73937499999999</v>
      </c>
      <c r="CW32">
        <f t="shared" si="29"/>
        <v>0</v>
      </c>
      <c r="CX32">
        <f t="shared" si="30"/>
        <v>0</v>
      </c>
      <c r="CY32">
        <f t="shared" si="31"/>
        <v>23.550700000000003</v>
      </c>
      <c r="CZ32">
        <f t="shared" si="32"/>
        <v>13.4261</v>
      </c>
      <c r="DE32" t="s">
        <v>61</v>
      </c>
      <c r="DF32" t="s">
        <v>61</v>
      </c>
      <c r="DG32" t="s">
        <v>19</v>
      </c>
      <c r="DI32" t="s">
        <v>19</v>
      </c>
      <c r="DJ32" t="s">
        <v>18</v>
      </c>
      <c r="DN32">
        <v>120</v>
      </c>
      <c r="DO32">
        <v>84</v>
      </c>
      <c r="DP32">
        <v>1.025</v>
      </c>
      <c r="DQ32">
        <v>1</v>
      </c>
      <c r="DU32">
        <v>1005</v>
      </c>
      <c r="DV32" t="s">
        <v>16</v>
      </c>
      <c r="DW32" t="s">
        <v>16</v>
      </c>
      <c r="DX32">
        <v>100</v>
      </c>
      <c r="EE32">
        <v>22536111</v>
      </c>
      <c r="EF32">
        <v>30</v>
      </c>
      <c r="EG32" t="s">
        <v>20</v>
      </c>
      <c r="EH32">
        <v>0</v>
      </c>
      <c r="EJ32">
        <v>1</v>
      </c>
      <c r="EK32">
        <v>117</v>
      </c>
      <c r="EL32" t="s">
        <v>62</v>
      </c>
      <c r="EM32" t="s">
        <v>63</v>
      </c>
      <c r="EQ32">
        <v>0</v>
      </c>
      <c r="ER32">
        <v>466.47</v>
      </c>
      <c r="ES32">
        <v>1.19</v>
      </c>
      <c r="ET32">
        <v>0.74</v>
      </c>
      <c r="EU32">
        <v>0.18</v>
      </c>
      <c r="EV32">
        <v>464.54</v>
      </c>
      <c r="EW32">
        <v>40.5</v>
      </c>
      <c r="EX32">
        <v>0</v>
      </c>
      <c r="EY32">
        <v>0</v>
      </c>
      <c r="EZ32">
        <v>0</v>
      </c>
      <c r="FQ32">
        <v>0</v>
      </c>
      <c r="FR32">
        <f t="shared" si="33"/>
        <v>0</v>
      </c>
      <c r="FS32">
        <v>0</v>
      </c>
      <c r="FX32">
        <v>107</v>
      </c>
      <c r="FY32">
        <v>61</v>
      </c>
      <c r="GG32">
        <v>2</v>
      </c>
      <c r="GH32">
        <v>0</v>
      </c>
      <c r="GI32">
        <v>0</v>
      </c>
      <c r="GJ32">
        <v>0</v>
      </c>
      <c r="GK32">
        <f>ROUND(R32*(R12)/100,2)</f>
        <v>0.02</v>
      </c>
      <c r="GL32">
        <f t="shared" si="34"/>
        <v>0</v>
      </c>
      <c r="GM32">
        <f t="shared" si="35"/>
        <v>59.10000000000001</v>
      </c>
      <c r="GN32">
        <f t="shared" si="36"/>
        <v>59.1</v>
      </c>
      <c r="GO32">
        <f t="shared" si="37"/>
        <v>0</v>
      </c>
      <c r="GP32">
        <f t="shared" si="38"/>
        <v>0</v>
      </c>
      <c r="GR32">
        <v>0</v>
      </c>
    </row>
    <row r="33" spans="1:200" ht="12.75">
      <c r="A33">
        <v>18</v>
      </c>
      <c r="B33">
        <v>1</v>
      </c>
      <c r="C33">
        <v>18</v>
      </c>
      <c r="E33" t="s">
        <v>64</v>
      </c>
      <c r="F33" t="s">
        <v>65</v>
      </c>
      <c r="G33" t="s">
        <v>66</v>
      </c>
      <c r="H33" t="s">
        <v>67</v>
      </c>
      <c r="I33">
        <f>I32*J33</f>
        <v>0.000997</v>
      </c>
      <c r="J33">
        <v>0.024800995024875625</v>
      </c>
      <c r="O33">
        <f t="shared" si="10"/>
        <v>0.03</v>
      </c>
      <c r="P33">
        <f t="shared" si="11"/>
        <v>0.03</v>
      </c>
      <c r="Q33">
        <f t="shared" si="12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>
        <f t="shared" si="16"/>
        <v>0</v>
      </c>
      <c r="V33">
        <f t="shared" si="17"/>
        <v>0</v>
      </c>
      <c r="W33">
        <f t="shared" si="18"/>
        <v>0</v>
      </c>
      <c r="X33">
        <f t="shared" si="19"/>
        <v>0</v>
      </c>
      <c r="Y33">
        <f t="shared" si="20"/>
        <v>0</v>
      </c>
      <c r="AA33">
        <v>22537192</v>
      </c>
      <c r="AB33">
        <f t="shared" si="21"/>
        <v>34.75</v>
      </c>
      <c r="AC33">
        <f aca="true" t="shared" si="42" ref="AC33:AJ34">AL33</f>
        <v>34.75</v>
      </c>
      <c r="AD33">
        <f t="shared" si="42"/>
        <v>0</v>
      </c>
      <c r="AE33">
        <f t="shared" si="42"/>
        <v>0</v>
      </c>
      <c r="AF33">
        <f t="shared" si="42"/>
        <v>0</v>
      </c>
      <c r="AG33">
        <f t="shared" si="42"/>
        <v>0</v>
      </c>
      <c r="AH33">
        <f t="shared" si="42"/>
        <v>0</v>
      </c>
      <c r="AI33">
        <f t="shared" si="42"/>
        <v>0</v>
      </c>
      <c r="AJ33">
        <f t="shared" si="42"/>
        <v>0</v>
      </c>
      <c r="AK33">
        <v>34.75</v>
      </c>
      <c r="AL33">
        <v>34.75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1</v>
      </c>
      <c r="BJ33" t="s">
        <v>68</v>
      </c>
      <c r="BM33">
        <v>117</v>
      </c>
      <c r="BN33">
        <v>0</v>
      </c>
      <c r="BO33" t="s">
        <v>65</v>
      </c>
      <c r="BP33">
        <v>1</v>
      </c>
      <c r="BQ33">
        <v>30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0</v>
      </c>
      <c r="CA33">
        <v>0</v>
      </c>
      <c r="CF33">
        <v>0</v>
      </c>
      <c r="CG33">
        <v>0</v>
      </c>
      <c r="CM33">
        <v>0</v>
      </c>
      <c r="CO33">
        <v>0</v>
      </c>
      <c r="CP33">
        <f t="shared" si="22"/>
        <v>0.03</v>
      </c>
      <c r="CQ33">
        <f t="shared" si="23"/>
        <v>34.75</v>
      </c>
      <c r="CR33">
        <f t="shared" si="24"/>
        <v>0</v>
      </c>
      <c r="CS33">
        <f t="shared" si="25"/>
        <v>0</v>
      </c>
      <c r="CT33">
        <f t="shared" si="26"/>
        <v>0</v>
      </c>
      <c r="CU33">
        <f t="shared" si="27"/>
        <v>0</v>
      </c>
      <c r="CV33">
        <f t="shared" si="28"/>
        <v>0</v>
      </c>
      <c r="CW33">
        <f t="shared" si="29"/>
        <v>0</v>
      </c>
      <c r="CX33">
        <f t="shared" si="30"/>
        <v>0</v>
      </c>
      <c r="CY33">
        <f t="shared" si="31"/>
        <v>0</v>
      </c>
      <c r="CZ33">
        <f t="shared" si="32"/>
        <v>0</v>
      </c>
      <c r="DN33">
        <v>120</v>
      </c>
      <c r="DO33">
        <v>84</v>
      </c>
      <c r="DP33">
        <v>1.025</v>
      </c>
      <c r="DQ33">
        <v>1</v>
      </c>
      <c r="DU33">
        <v>1002</v>
      </c>
      <c r="DV33" t="s">
        <v>67</v>
      </c>
      <c r="DW33" t="s">
        <v>67</v>
      </c>
      <c r="DX33">
        <v>1</v>
      </c>
      <c r="EE33">
        <v>22536111</v>
      </c>
      <c r="EF33">
        <v>30</v>
      </c>
      <c r="EG33" t="s">
        <v>20</v>
      </c>
      <c r="EH33">
        <v>0</v>
      </c>
      <c r="EJ33">
        <v>1</v>
      </c>
      <c r="EK33">
        <v>117</v>
      </c>
      <c r="EL33" t="s">
        <v>62</v>
      </c>
      <c r="EM33" t="s">
        <v>63</v>
      </c>
      <c r="EQ33">
        <v>0</v>
      </c>
      <c r="ER33">
        <v>34.75</v>
      </c>
      <c r="ES33">
        <v>34.75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0</v>
      </c>
      <c r="FQ33">
        <v>0</v>
      </c>
      <c r="FR33">
        <f t="shared" si="33"/>
        <v>0</v>
      </c>
      <c r="FS33">
        <v>0</v>
      </c>
      <c r="FX33">
        <v>0</v>
      </c>
      <c r="FY33">
        <v>0</v>
      </c>
      <c r="GG33">
        <v>2</v>
      </c>
      <c r="GH33">
        <v>0</v>
      </c>
      <c r="GI33">
        <v>0</v>
      </c>
      <c r="GJ33">
        <v>0</v>
      </c>
      <c r="GK33">
        <f>ROUND(R33*(R12)/100,2)</f>
        <v>0</v>
      </c>
      <c r="GL33">
        <f t="shared" si="34"/>
        <v>0</v>
      </c>
      <c r="GM33">
        <f t="shared" si="35"/>
        <v>0.03</v>
      </c>
      <c r="GN33">
        <f t="shared" si="36"/>
        <v>0.03</v>
      </c>
      <c r="GO33">
        <f t="shared" si="37"/>
        <v>0</v>
      </c>
      <c r="GP33">
        <f t="shared" si="38"/>
        <v>0</v>
      </c>
      <c r="GR33">
        <v>0</v>
      </c>
    </row>
    <row r="34" spans="1:200" ht="12.75">
      <c r="A34">
        <v>18</v>
      </c>
      <c r="B34">
        <v>1</v>
      </c>
      <c r="C34">
        <v>19</v>
      </c>
      <c r="E34" t="s">
        <v>69</v>
      </c>
      <c r="F34" t="s">
        <v>70</v>
      </c>
      <c r="G34" t="s">
        <v>71</v>
      </c>
      <c r="H34" t="s">
        <v>72</v>
      </c>
      <c r="I34">
        <f>I32*J34</f>
        <v>0.31356</v>
      </c>
      <c r="J34">
        <v>7.8</v>
      </c>
      <c r="O34">
        <f t="shared" si="10"/>
        <v>6.33</v>
      </c>
      <c r="P34">
        <f t="shared" si="11"/>
        <v>6.33</v>
      </c>
      <c r="Q34">
        <f t="shared" si="12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>
        <f t="shared" si="16"/>
        <v>0</v>
      </c>
      <c r="V34">
        <f t="shared" si="17"/>
        <v>0</v>
      </c>
      <c r="W34">
        <f t="shared" si="18"/>
        <v>0</v>
      </c>
      <c r="X34">
        <f t="shared" si="19"/>
        <v>0</v>
      </c>
      <c r="Y34">
        <f t="shared" si="20"/>
        <v>0</v>
      </c>
      <c r="AA34">
        <v>22537192</v>
      </c>
      <c r="AB34">
        <f t="shared" si="21"/>
        <v>20.19</v>
      </c>
      <c r="AC34">
        <f t="shared" si="42"/>
        <v>20.19</v>
      </c>
      <c r="AD34">
        <f t="shared" si="42"/>
        <v>0</v>
      </c>
      <c r="AE34">
        <f t="shared" si="42"/>
        <v>0</v>
      </c>
      <c r="AF34">
        <f t="shared" si="42"/>
        <v>0</v>
      </c>
      <c r="AG34">
        <f t="shared" si="42"/>
        <v>0</v>
      </c>
      <c r="AH34">
        <f t="shared" si="42"/>
        <v>0</v>
      </c>
      <c r="AI34">
        <f t="shared" si="42"/>
        <v>0</v>
      </c>
      <c r="AJ34">
        <f t="shared" si="42"/>
        <v>0</v>
      </c>
      <c r="AK34">
        <v>20.19</v>
      </c>
      <c r="AL34">
        <v>20.19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1.025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3</v>
      </c>
      <c r="BI34">
        <v>1</v>
      </c>
      <c r="BJ34" t="s">
        <v>73</v>
      </c>
      <c r="BM34">
        <v>117</v>
      </c>
      <c r="BN34">
        <v>0</v>
      </c>
      <c r="BO34" t="s">
        <v>70</v>
      </c>
      <c r="BP34">
        <v>1</v>
      </c>
      <c r="BQ34">
        <v>30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22"/>
        <v>6.33</v>
      </c>
      <c r="CQ34">
        <f t="shared" si="23"/>
        <v>20.19</v>
      </c>
      <c r="CR34">
        <f t="shared" si="24"/>
        <v>0</v>
      </c>
      <c r="CS34">
        <f t="shared" si="25"/>
        <v>0</v>
      </c>
      <c r="CT34">
        <f t="shared" si="26"/>
        <v>0</v>
      </c>
      <c r="CU34">
        <f t="shared" si="27"/>
        <v>0</v>
      </c>
      <c r="CV34">
        <f t="shared" si="28"/>
        <v>0</v>
      </c>
      <c r="CW34">
        <f t="shared" si="29"/>
        <v>0</v>
      </c>
      <c r="CX34">
        <f t="shared" si="30"/>
        <v>0</v>
      </c>
      <c r="CY34">
        <f t="shared" si="31"/>
        <v>0</v>
      </c>
      <c r="CZ34">
        <f t="shared" si="32"/>
        <v>0</v>
      </c>
      <c r="DN34">
        <v>120</v>
      </c>
      <c r="DO34">
        <v>84</v>
      </c>
      <c r="DP34">
        <v>1.025</v>
      </c>
      <c r="DQ34">
        <v>1</v>
      </c>
      <c r="DU34">
        <v>1009</v>
      </c>
      <c r="DV34" t="s">
        <v>72</v>
      </c>
      <c r="DW34" t="s">
        <v>72</v>
      </c>
      <c r="DX34">
        <v>1</v>
      </c>
      <c r="EE34">
        <v>22536111</v>
      </c>
      <c r="EF34">
        <v>30</v>
      </c>
      <c r="EG34" t="s">
        <v>20</v>
      </c>
      <c r="EH34">
        <v>0</v>
      </c>
      <c r="EJ34">
        <v>1</v>
      </c>
      <c r="EK34">
        <v>117</v>
      </c>
      <c r="EL34" t="s">
        <v>62</v>
      </c>
      <c r="EM34" t="s">
        <v>63</v>
      </c>
      <c r="EQ34">
        <v>0</v>
      </c>
      <c r="ER34">
        <v>20.19</v>
      </c>
      <c r="ES34">
        <v>20.19</v>
      </c>
      <c r="ET34">
        <v>0</v>
      </c>
      <c r="EU34">
        <v>0</v>
      </c>
      <c r="EV34">
        <v>0</v>
      </c>
      <c r="EW34">
        <v>0</v>
      </c>
      <c r="EX34">
        <v>0</v>
      </c>
      <c r="EZ34">
        <v>0</v>
      </c>
      <c r="FQ34">
        <v>0</v>
      </c>
      <c r="FR34">
        <f t="shared" si="33"/>
        <v>0</v>
      </c>
      <c r="FS34">
        <v>0</v>
      </c>
      <c r="FX34">
        <v>0</v>
      </c>
      <c r="FY34">
        <v>0</v>
      </c>
      <c r="GG34">
        <v>2</v>
      </c>
      <c r="GH34">
        <v>0</v>
      </c>
      <c r="GI34">
        <v>0</v>
      </c>
      <c r="GJ34">
        <v>0</v>
      </c>
      <c r="GK34">
        <f>ROUND(R34*(R12)/100,2)</f>
        <v>0</v>
      </c>
      <c r="GL34">
        <f t="shared" si="34"/>
        <v>0</v>
      </c>
      <c r="GM34">
        <f t="shared" si="35"/>
        <v>6.33</v>
      </c>
      <c r="GN34">
        <f t="shared" si="36"/>
        <v>6.33</v>
      </c>
      <c r="GO34">
        <f t="shared" si="37"/>
        <v>0</v>
      </c>
      <c r="GP34">
        <f t="shared" si="38"/>
        <v>0</v>
      </c>
      <c r="GR34">
        <v>0</v>
      </c>
    </row>
    <row r="35" spans="1:200" ht="12.75">
      <c r="A35">
        <v>17</v>
      </c>
      <c r="B35">
        <v>1</v>
      </c>
      <c r="C35">
        <f>ROW(SmtRes!A26)</f>
        <v>26</v>
      </c>
      <c r="D35">
        <f>ROW(EtalonRes!A26)</f>
        <v>26</v>
      </c>
      <c r="E35" t="s">
        <v>74</v>
      </c>
      <c r="F35" t="s">
        <v>75</v>
      </c>
      <c r="G35" t="s">
        <v>76</v>
      </c>
      <c r="H35" t="s">
        <v>16</v>
      </c>
      <c r="I35">
        <v>0.2662</v>
      </c>
      <c r="J35">
        <v>0</v>
      </c>
      <c r="O35">
        <f t="shared" si="10"/>
        <v>494.71</v>
      </c>
      <c r="P35">
        <f t="shared" si="11"/>
        <v>178.6</v>
      </c>
      <c r="Q35">
        <f t="shared" si="12"/>
        <v>0</v>
      </c>
      <c r="R35">
        <f t="shared" si="13"/>
        <v>0</v>
      </c>
      <c r="S35">
        <f t="shared" si="14"/>
        <v>316.11</v>
      </c>
      <c r="T35">
        <f t="shared" si="15"/>
        <v>0</v>
      </c>
      <c r="U35">
        <f t="shared" si="16"/>
        <v>21.610115999999998</v>
      </c>
      <c r="V35">
        <f t="shared" si="17"/>
        <v>0</v>
      </c>
      <c r="W35">
        <f t="shared" si="18"/>
        <v>0</v>
      </c>
      <c r="X35">
        <f t="shared" si="19"/>
        <v>338.24</v>
      </c>
      <c r="Y35">
        <f t="shared" si="20"/>
        <v>192.83</v>
      </c>
      <c r="AA35">
        <v>22537192</v>
      </c>
      <c r="AB35">
        <f t="shared" si="21"/>
        <v>1829.462</v>
      </c>
      <c r="AC35">
        <f>(ES35)</f>
        <v>670.91</v>
      </c>
      <c r="AD35">
        <f>((ET35*1.2))</f>
        <v>0.012</v>
      </c>
      <c r="AE35">
        <f>((EU35*1.2))</f>
        <v>0.012</v>
      </c>
      <c r="AF35">
        <f>((EV35*1.2))</f>
        <v>1158.54</v>
      </c>
      <c r="AG35">
        <f>(AP35)</f>
        <v>0</v>
      </c>
      <c r="AH35">
        <f>(EW35)</f>
        <v>79.2</v>
      </c>
      <c r="AI35">
        <f>((EX35*1.2))</f>
        <v>0</v>
      </c>
      <c r="AJ35">
        <f>(AS35)</f>
        <v>0</v>
      </c>
      <c r="AK35">
        <v>1636.37</v>
      </c>
      <c r="AL35">
        <v>670.91</v>
      </c>
      <c r="AM35">
        <v>0.01</v>
      </c>
      <c r="AN35">
        <v>0.01</v>
      </c>
      <c r="AO35">
        <v>965.45</v>
      </c>
      <c r="AP35">
        <v>0</v>
      </c>
      <c r="AQ35">
        <v>79.2</v>
      </c>
      <c r="AR35">
        <v>0</v>
      </c>
      <c r="AS35">
        <v>0</v>
      </c>
      <c r="AT35">
        <v>107</v>
      </c>
      <c r="AU35">
        <v>61</v>
      </c>
      <c r="AV35">
        <v>1.025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77</v>
      </c>
      <c r="BM35">
        <v>466</v>
      </c>
      <c r="BN35">
        <v>0</v>
      </c>
      <c r="BO35" t="s">
        <v>75</v>
      </c>
      <c r="BP35">
        <v>1</v>
      </c>
      <c r="BQ35">
        <v>60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107</v>
      </c>
      <c r="CA35">
        <v>61</v>
      </c>
      <c r="CF35">
        <v>0</v>
      </c>
      <c r="CG35">
        <v>0</v>
      </c>
      <c r="CM35">
        <v>0</v>
      </c>
      <c r="CO35">
        <v>0</v>
      </c>
      <c r="CP35">
        <f t="shared" si="22"/>
        <v>494.71000000000004</v>
      </c>
      <c r="CQ35">
        <f t="shared" si="23"/>
        <v>670.91</v>
      </c>
      <c r="CR35">
        <f t="shared" si="24"/>
        <v>0.012299999999999998</v>
      </c>
      <c r="CS35">
        <f t="shared" si="25"/>
        <v>0.012299999999999998</v>
      </c>
      <c r="CT35">
        <f t="shared" si="26"/>
        <v>1187.5034999999998</v>
      </c>
      <c r="CU35">
        <f t="shared" si="27"/>
        <v>0</v>
      </c>
      <c r="CV35">
        <f t="shared" si="28"/>
        <v>81.17999999999999</v>
      </c>
      <c r="CW35">
        <f t="shared" si="29"/>
        <v>0</v>
      </c>
      <c r="CX35">
        <f t="shared" si="30"/>
        <v>0</v>
      </c>
      <c r="CY35">
        <f t="shared" si="31"/>
        <v>338.2377</v>
      </c>
      <c r="CZ35">
        <f t="shared" si="32"/>
        <v>192.8271</v>
      </c>
      <c r="DE35" t="s">
        <v>46</v>
      </c>
      <c r="DF35" t="s">
        <v>46</v>
      </c>
      <c r="DG35" t="s">
        <v>46</v>
      </c>
      <c r="DJ35" t="s">
        <v>46</v>
      </c>
      <c r="DN35">
        <v>100</v>
      </c>
      <c r="DO35">
        <v>64</v>
      </c>
      <c r="DP35">
        <v>1.025</v>
      </c>
      <c r="DQ35">
        <v>1</v>
      </c>
      <c r="DU35">
        <v>1005</v>
      </c>
      <c r="DV35" t="s">
        <v>16</v>
      </c>
      <c r="DW35" t="s">
        <v>16</v>
      </c>
      <c r="DX35">
        <v>100</v>
      </c>
      <c r="EE35">
        <v>22536460</v>
      </c>
      <c r="EF35">
        <v>60</v>
      </c>
      <c r="EG35" t="s">
        <v>47</v>
      </c>
      <c r="EH35">
        <v>0</v>
      </c>
      <c r="EJ35">
        <v>1</v>
      </c>
      <c r="EK35">
        <v>466</v>
      </c>
      <c r="EL35" t="s">
        <v>78</v>
      </c>
      <c r="EM35" t="s">
        <v>79</v>
      </c>
      <c r="EQ35">
        <v>0</v>
      </c>
      <c r="ER35">
        <v>1636.37</v>
      </c>
      <c r="ES35">
        <v>670.91</v>
      </c>
      <c r="ET35">
        <v>0.01</v>
      </c>
      <c r="EU35">
        <v>0.01</v>
      </c>
      <c r="EV35">
        <v>965.45</v>
      </c>
      <c r="EW35">
        <v>79.2</v>
      </c>
      <c r="EX35">
        <v>0</v>
      </c>
      <c r="EY35">
        <v>0</v>
      </c>
      <c r="EZ35">
        <v>0</v>
      </c>
      <c r="FQ35">
        <v>0</v>
      </c>
      <c r="FR35">
        <f t="shared" si="33"/>
        <v>0</v>
      </c>
      <c r="FS35">
        <v>0</v>
      </c>
      <c r="FX35">
        <v>107</v>
      </c>
      <c r="FY35">
        <v>61</v>
      </c>
      <c r="GG35">
        <v>2</v>
      </c>
      <c r="GH35">
        <v>0</v>
      </c>
      <c r="GI35">
        <v>0</v>
      </c>
      <c r="GJ35">
        <v>0</v>
      </c>
      <c r="GK35">
        <f>ROUND(R35*(R12)/100,2)</f>
        <v>0</v>
      </c>
      <c r="GL35">
        <f t="shared" si="34"/>
        <v>0</v>
      </c>
      <c r="GM35">
        <f t="shared" si="35"/>
        <v>1025.78</v>
      </c>
      <c r="GN35">
        <f t="shared" si="36"/>
        <v>1025.78</v>
      </c>
      <c r="GO35">
        <f t="shared" si="37"/>
        <v>0</v>
      </c>
      <c r="GP35">
        <f t="shared" si="38"/>
        <v>0</v>
      </c>
      <c r="GR35">
        <v>0</v>
      </c>
    </row>
    <row r="36" spans="1:200" ht="12.75">
      <c r="A36">
        <v>17</v>
      </c>
      <c r="B36">
        <v>1</v>
      </c>
      <c r="C36">
        <f>ROW(SmtRes!A31)</f>
        <v>31</v>
      </c>
      <c r="D36">
        <f>ROW(EtalonRes!A31)</f>
        <v>31</v>
      </c>
      <c r="E36" t="s">
        <v>80</v>
      </c>
      <c r="F36" t="s">
        <v>81</v>
      </c>
      <c r="G36" t="s">
        <v>82</v>
      </c>
      <c r="H36" t="s">
        <v>16</v>
      </c>
      <c r="I36">
        <v>0.2662</v>
      </c>
      <c r="J36">
        <v>0</v>
      </c>
      <c r="O36">
        <f t="shared" si="10"/>
        <v>145.71</v>
      </c>
      <c r="P36">
        <f t="shared" si="11"/>
        <v>0.47</v>
      </c>
      <c r="Q36">
        <f t="shared" si="12"/>
        <v>0.25</v>
      </c>
      <c r="R36">
        <f t="shared" si="13"/>
        <v>0.06</v>
      </c>
      <c r="S36">
        <f t="shared" si="14"/>
        <v>144.99</v>
      </c>
      <c r="T36">
        <f t="shared" si="15"/>
        <v>0</v>
      </c>
      <c r="U36">
        <f t="shared" si="16"/>
        <v>11.327575325</v>
      </c>
      <c r="V36">
        <f t="shared" si="17"/>
        <v>0</v>
      </c>
      <c r="W36">
        <f t="shared" si="18"/>
        <v>0</v>
      </c>
      <c r="X36">
        <f t="shared" si="19"/>
        <v>155.14</v>
      </c>
      <c r="Y36">
        <f t="shared" si="20"/>
        <v>88.44</v>
      </c>
      <c r="AA36">
        <v>22537192</v>
      </c>
      <c r="AB36">
        <f t="shared" si="21"/>
        <v>534.0669999999999</v>
      </c>
      <c r="AC36">
        <f>(ES36)</f>
        <v>1.75</v>
      </c>
      <c r="AD36">
        <f>((ET36*1.25))</f>
        <v>0.925</v>
      </c>
      <c r="AE36">
        <f>((EU36*1.25))</f>
        <v>0.22499999999999998</v>
      </c>
      <c r="AF36">
        <f>((EV36*1.15))</f>
        <v>531.3919999999999</v>
      </c>
      <c r="AG36">
        <f>(AP36)</f>
        <v>0</v>
      </c>
      <c r="AH36">
        <f>((EW36*1.15))</f>
        <v>41.515</v>
      </c>
      <c r="AI36">
        <f>((EX36*1.25))</f>
        <v>0</v>
      </c>
      <c r="AJ36">
        <f>(AS36)</f>
        <v>0</v>
      </c>
      <c r="AK36">
        <v>464.57</v>
      </c>
      <c r="AL36">
        <v>1.75</v>
      </c>
      <c r="AM36">
        <v>0.74</v>
      </c>
      <c r="AN36">
        <v>0.18</v>
      </c>
      <c r="AO36">
        <v>462.08</v>
      </c>
      <c r="AP36">
        <v>0</v>
      </c>
      <c r="AQ36">
        <v>36.1</v>
      </c>
      <c r="AR36">
        <v>0</v>
      </c>
      <c r="AS36">
        <v>0</v>
      </c>
      <c r="AT36">
        <v>107</v>
      </c>
      <c r="AU36">
        <v>61</v>
      </c>
      <c r="AV36">
        <v>1.025</v>
      </c>
      <c r="AW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83</v>
      </c>
      <c r="BM36">
        <v>117</v>
      </c>
      <c r="BN36">
        <v>0</v>
      </c>
      <c r="BO36" t="s">
        <v>81</v>
      </c>
      <c r="BP36">
        <v>1</v>
      </c>
      <c r="BQ36">
        <v>30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107</v>
      </c>
      <c r="CA36">
        <v>61</v>
      </c>
      <c r="CF36">
        <v>0</v>
      </c>
      <c r="CG36">
        <v>0</v>
      </c>
      <c r="CM36">
        <v>0</v>
      </c>
      <c r="CO36">
        <v>0</v>
      </c>
      <c r="CP36">
        <f t="shared" si="22"/>
        <v>145.71</v>
      </c>
      <c r="CQ36">
        <f t="shared" si="23"/>
        <v>1.75</v>
      </c>
      <c r="CR36">
        <f t="shared" si="24"/>
        <v>0.948125</v>
      </c>
      <c r="CS36">
        <f t="shared" si="25"/>
        <v>0.23062499999999997</v>
      </c>
      <c r="CT36">
        <f t="shared" si="26"/>
        <v>544.6767999999998</v>
      </c>
      <c r="CU36">
        <f t="shared" si="27"/>
        <v>0</v>
      </c>
      <c r="CV36">
        <f t="shared" si="28"/>
        <v>42.552875</v>
      </c>
      <c r="CW36">
        <f t="shared" si="29"/>
        <v>0</v>
      </c>
      <c r="CX36">
        <f t="shared" si="30"/>
        <v>0</v>
      </c>
      <c r="CY36">
        <f t="shared" si="31"/>
        <v>155.13930000000002</v>
      </c>
      <c r="CZ36">
        <f t="shared" si="32"/>
        <v>88.4439</v>
      </c>
      <c r="DE36" t="s">
        <v>18</v>
      </c>
      <c r="DF36" t="s">
        <v>18</v>
      </c>
      <c r="DG36" t="s">
        <v>19</v>
      </c>
      <c r="DI36" t="s">
        <v>19</v>
      </c>
      <c r="DJ36" t="s">
        <v>18</v>
      </c>
      <c r="DN36">
        <v>120</v>
      </c>
      <c r="DO36">
        <v>84</v>
      </c>
      <c r="DP36">
        <v>1.025</v>
      </c>
      <c r="DQ36">
        <v>1</v>
      </c>
      <c r="DU36">
        <v>1005</v>
      </c>
      <c r="DV36" t="s">
        <v>16</v>
      </c>
      <c r="DW36" t="s">
        <v>16</v>
      </c>
      <c r="DX36">
        <v>100</v>
      </c>
      <c r="EE36">
        <v>22536111</v>
      </c>
      <c r="EF36">
        <v>30</v>
      </c>
      <c r="EG36" t="s">
        <v>20</v>
      </c>
      <c r="EH36">
        <v>0</v>
      </c>
      <c r="EJ36">
        <v>1</v>
      </c>
      <c r="EK36">
        <v>117</v>
      </c>
      <c r="EL36" t="s">
        <v>62</v>
      </c>
      <c r="EM36" t="s">
        <v>63</v>
      </c>
      <c r="EQ36">
        <v>0</v>
      </c>
      <c r="ER36">
        <v>464.57</v>
      </c>
      <c r="ES36">
        <v>1.75</v>
      </c>
      <c r="ET36">
        <v>0.74</v>
      </c>
      <c r="EU36">
        <v>0.18</v>
      </c>
      <c r="EV36">
        <v>462.08</v>
      </c>
      <c r="EW36">
        <v>36.1</v>
      </c>
      <c r="EX36">
        <v>0</v>
      </c>
      <c r="EY36">
        <v>0</v>
      </c>
      <c r="EZ36">
        <v>0</v>
      </c>
      <c r="FQ36">
        <v>0</v>
      </c>
      <c r="FR36">
        <f t="shared" si="33"/>
        <v>0</v>
      </c>
      <c r="FS36">
        <v>0</v>
      </c>
      <c r="FX36">
        <v>107</v>
      </c>
      <c r="FY36">
        <v>61</v>
      </c>
      <c r="GG36">
        <v>2</v>
      </c>
      <c r="GH36">
        <v>0</v>
      </c>
      <c r="GI36">
        <v>0</v>
      </c>
      <c r="GJ36">
        <v>0</v>
      </c>
      <c r="GK36">
        <f>ROUND(R36*(R12)/100,2)</f>
        <v>0.11</v>
      </c>
      <c r="GL36">
        <f t="shared" si="34"/>
        <v>0</v>
      </c>
      <c r="GM36">
        <f t="shared" si="35"/>
        <v>389.40000000000003</v>
      </c>
      <c r="GN36">
        <f t="shared" si="36"/>
        <v>389.4</v>
      </c>
      <c r="GO36">
        <f t="shared" si="37"/>
        <v>0</v>
      </c>
      <c r="GP36">
        <f t="shared" si="38"/>
        <v>0</v>
      </c>
      <c r="GR36">
        <v>0</v>
      </c>
    </row>
    <row r="37" spans="1:200" ht="12.75">
      <c r="A37">
        <v>18</v>
      </c>
      <c r="B37">
        <v>1</v>
      </c>
      <c r="C37">
        <v>30</v>
      </c>
      <c r="E37" t="s">
        <v>84</v>
      </c>
      <c r="F37" t="s">
        <v>85</v>
      </c>
      <c r="G37" t="s">
        <v>86</v>
      </c>
      <c r="H37" t="s">
        <v>31</v>
      </c>
      <c r="I37">
        <f>I36*J37</f>
        <v>0.001331</v>
      </c>
      <c r="J37">
        <v>0.005</v>
      </c>
      <c r="O37">
        <f t="shared" si="10"/>
        <v>3.03</v>
      </c>
      <c r="P37">
        <f t="shared" si="11"/>
        <v>3.03</v>
      </c>
      <c r="Q37">
        <f t="shared" si="12"/>
        <v>0</v>
      </c>
      <c r="R37">
        <f t="shared" si="13"/>
        <v>0</v>
      </c>
      <c r="S37">
        <f t="shared" si="14"/>
        <v>0</v>
      </c>
      <c r="T37">
        <f t="shared" si="15"/>
        <v>0</v>
      </c>
      <c r="U37">
        <f t="shared" si="16"/>
        <v>0</v>
      </c>
      <c r="V37">
        <f t="shared" si="17"/>
        <v>0</v>
      </c>
      <c r="W37">
        <f t="shared" si="18"/>
        <v>0</v>
      </c>
      <c r="X37">
        <f t="shared" si="19"/>
        <v>0</v>
      </c>
      <c r="Y37">
        <f t="shared" si="20"/>
        <v>0</v>
      </c>
      <c r="AA37">
        <v>22537192</v>
      </c>
      <c r="AB37">
        <f t="shared" si="21"/>
        <v>2278.84</v>
      </c>
      <c r="AC37">
        <f aca="true" t="shared" si="43" ref="AC37:AJ38">AL37</f>
        <v>2278.84</v>
      </c>
      <c r="AD37">
        <f t="shared" si="43"/>
        <v>0</v>
      </c>
      <c r="AE37">
        <f t="shared" si="43"/>
        <v>0</v>
      </c>
      <c r="AF37">
        <f t="shared" si="43"/>
        <v>0</v>
      </c>
      <c r="AG37">
        <f t="shared" si="43"/>
        <v>0</v>
      </c>
      <c r="AH37">
        <f t="shared" si="43"/>
        <v>0</v>
      </c>
      <c r="AI37">
        <f t="shared" si="43"/>
        <v>0</v>
      </c>
      <c r="AJ37">
        <f t="shared" si="43"/>
        <v>0</v>
      </c>
      <c r="AK37">
        <v>2278.84</v>
      </c>
      <c r="AL37">
        <v>2278.84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1.025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1</v>
      </c>
      <c r="BJ37" t="s">
        <v>87</v>
      </c>
      <c r="BM37">
        <v>117</v>
      </c>
      <c r="BN37">
        <v>0</v>
      </c>
      <c r="BO37" t="s">
        <v>85</v>
      </c>
      <c r="BP37">
        <v>1</v>
      </c>
      <c r="BQ37">
        <v>30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0</v>
      </c>
      <c r="CA37">
        <v>0</v>
      </c>
      <c r="CF37">
        <v>0</v>
      </c>
      <c r="CG37">
        <v>0</v>
      </c>
      <c r="CM37">
        <v>0</v>
      </c>
      <c r="CO37">
        <v>0</v>
      </c>
      <c r="CP37">
        <f t="shared" si="22"/>
        <v>3.03</v>
      </c>
      <c r="CQ37">
        <f t="shared" si="23"/>
        <v>2278.84</v>
      </c>
      <c r="CR37">
        <f t="shared" si="24"/>
        <v>0</v>
      </c>
      <c r="CS37">
        <f t="shared" si="25"/>
        <v>0</v>
      </c>
      <c r="CT37">
        <f t="shared" si="26"/>
        <v>0</v>
      </c>
      <c r="CU37">
        <f t="shared" si="27"/>
        <v>0</v>
      </c>
      <c r="CV37">
        <f t="shared" si="28"/>
        <v>0</v>
      </c>
      <c r="CW37">
        <f t="shared" si="29"/>
        <v>0</v>
      </c>
      <c r="CX37">
        <f t="shared" si="30"/>
        <v>0</v>
      </c>
      <c r="CY37">
        <f t="shared" si="31"/>
        <v>0</v>
      </c>
      <c r="CZ37">
        <f t="shared" si="32"/>
        <v>0</v>
      </c>
      <c r="DN37">
        <v>120</v>
      </c>
      <c r="DO37">
        <v>84</v>
      </c>
      <c r="DP37">
        <v>1.025</v>
      </c>
      <c r="DQ37">
        <v>1</v>
      </c>
      <c r="DU37">
        <v>1009</v>
      </c>
      <c r="DV37" t="s">
        <v>31</v>
      </c>
      <c r="DW37" t="s">
        <v>31</v>
      </c>
      <c r="DX37">
        <v>1000</v>
      </c>
      <c r="EE37">
        <v>22536111</v>
      </c>
      <c r="EF37">
        <v>30</v>
      </c>
      <c r="EG37" t="s">
        <v>20</v>
      </c>
      <c r="EH37">
        <v>0</v>
      </c>
      <c r="EJ37">
        <v>1</v>
      </c>
      <c r="EK37">
        <v>117</v>
      </c>
      <c r="EL37" t="s">
        <v>62</v>
      </c>
      <c r="EM37" t="s">
        <v>63</v>
      </c>
      <c r="EQ37">
        <v>0</v>
      </c>
      <c r="ER37">
        <v>2278.84</v>
      </c>
      <c r="ES37">
        <v>2278.84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0</v>
      </c>
      <c r="FQ37">
        <v>0</v>
      </c>
      <c r="FR37">
        <f t="shared" si="33"/>
        <v>0</v>
      </c>
      <c r="FS37">
        <v>0</v>
      </c>
      <c r="FX37">
        <v>0</v>
      </c>
      <c r="FY37">
        <v>0</v>
      </c>
      <c r="GG37">
        <v>2</v>
      </c>
      <c r="GH37">
        <v>0</v>
      </c>
      <c r="GI37">
        <v>0</v>
      </c>
      <c r="GJ37">
        <v>0</v>
      </c>
      <c r="GK37">
        <f>ROUND(R37*(R12)/100,2)</f>
        <v>0</v>
      </c>
      <c r="GL37">
        <f t="shared" si="34"/>
        <v>0</v>
      </c>
      <c r="GM37">
        <f t="shared" si="35"/>
        <v>3.03</v>
      </c>
      <c r="GN37">
        <f t="shared" si="36"/>
        <v>3.03</v>
      </c>
      <c r="GO37">
        <f t="shared" si="37"/>
        <v>0</v>
      </c>
      <c r="GP37">
        <f t="shared" si="38"/>
        <v>0</v>
      </c>
      <c r="GR37">
        <v>0</v>
      </c>
    </row>
    <row r="38" spans="1:200" ht="12.75">
      <c r="A38">
        <v>18</v>
      </c>
      <c r="B38">
        <v>1</v>
      </c>
      <c r="C38">
        <v>31</v>
      </c>
      <c r="E38" t="s">
        <v>88</v>
      </c>
      <c r="F38" t="s">
        <v>89</v>
      </c>
      <c r="G38" t="s">
        <v>90</v>
      </c>
      <c r="H38" t="s">
        <v>31</v>
      </c>
      <c r="I38">
        <f>I36*J38</f>
        <v>0.002401124</v>
      </c>
      <c r="J38">
        <v>0.00902</v>
      </c>
      <c r="O38">
        <f t="shared" si="10"/>
        <v>76.86</v>
      </c>
      <c r="P38">
        <f t="shared" si="11"/>
        <v>76.86</v>
      </c>
      <c r="Q38">
        <f t="shared" si="12"/>
        <v>0</v>
      </c>
      <c r="R38">
        <f t="shared" si="13"/>
        <v>0</v>
      </c>
      <c r="S38">
        <f t="shared" si="14"/>
        <v>0</v>
      </c>
      <c r="T38">
        <f t="shared" si="15"/>
        <v>0</v>
      </c>
      <c r="U38">
        <f t="shared" si="16"/>
        <v>0</v>
      </c>
      <c r="V38">
        <f t="shared" si="17"/>
        <v>0</v>
      </c>
      <c r="W38">
        <f t="shared" si="18"/>
        <v>0</v>
      </c>
      <c r="X38">
        <f t="shared" si="19"/>
        <v>0</v>
      </c>
      <c r="Y38">
        <f t="shared" si="20"/>
        <v>0</v>
      </c>
      <c r="AA38">
        <v>22537192</v>
      </c>
      <c r="AB38">
        <f t="shared" si="21"/>
        <v>32008.27</v>
      </c>
      <c r="AC38">
        <f t="shared" si="43"/>
        <v>32008.27</v>
      </c>
      <c r="AD38">
        <f t="shared" si="43"/>
        <v>0</v>
      </c>
      <c r="AE38">
        <f t="shared" si="43"/>
        <v>0</v>
      </c>
      <c r="AF38">
        <f t="shared" si="43"/>
        <v>0</v>
      </c>
      <c r="AG38">
        <f t="shared" si="43"/>
        <v>0</v>
      </c>
      <c r="AH38">
        <f t="shared" si="43"/>
        <v>0</v>
      </c>
      <c r="AI38">
        <f t="shared" si="43"/>
        <v>0</v>
      </c>
      <c r="AJ38">
        <f t="shared" si="43"/>
        <v>0</v>
      </c>
      <c r="AK38">
        <v>32008.27</v>
      </c>
      <c r="AL38">
        <v>32008.27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1.025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1</v>
      </c>
      <c r="BJ38" t="s">
        <v>91</v>
      </c>
      <c r="BM38">
        <v>117</v>
      </c>
      <c r="BN38">
        <v>0</v>
      </c>
      <c r="BO38" t="s">
        <v>89</v>
      </c>
      <c r="BP38">
        <v>1</v>
      </c>
      <c r="BQ38">
        <v>30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22"/>
        <v>76.86</v>
      </c>
      <c r="CQ38">
        <f t="shared" si="23"/>
        <v>32008.27</v>
      </c>
      <c r="CR38">
        <f t="shared" si="24"/>
        <v>0</v>
      </c>
      <c r="CS38">
        <f t="shared" si="25"/>
        <v>0</v>
      </c>
      <c r="CT38">
        <f t="shared" si="26"/>
        <v>0</v>
      </c>
      <c r="CU38">
        <f t="shared" si="27"/>
        <v>0</v>
      </c>
      <c r="CV38">
        <f t="shared" si="28"/>
        <v>0</v>
      </c>
      <c r="CW38">
        <f t="shared" si="29"/>
        <v>0</v>
      </c>
      <c r="CX38">
        <f t="shared" si="30"/>
        <v>0</v>
      </c>
      <c r="CY38">
        <f t="shared" si="31"/>
        <v>0</v>
      </c>
      <c r="CZ38">
        <f t="shared" si="32"/>
        <v>0</v>
      </c>
      <c r="DN38">
        <v>120</v>
      </c>
      <c r="DO38">
        <v>84</v>
      </c>
      <c r="DP38">
        <v>1.025</v>
      </c>
      <c r="DQ38">
        <v>1</v>
      </c>
      <c r="DU38">
        <v>1009</v>
      </c>
      <c r="DV38" t="s">
        <v>31</v>
      </c>
      <c r="DW38" t="s">
        <v>31</v>
      </c>
      <c r="DX38">
        <v>1000</v>
      </c>
      <c r="EE38">
        <v>22536111</v>
      </c>
      <c r="EF38">
        <v>30</v>
      </c>
      <c r="EG38" t="s">
        <v>20</v>
      </c>
      <c r="EH38">
        <v>0</v>
      </c>
      <c r="EJ38">
        <v>1</v>
      </c>
      <c r="EK38">
        <v>117</v>
      </c>
      <c r="EL38" t="s">
        <v>62</v>
      </c>
      <c r="EM38" t="s">
        <v>63</v>
      </c>
      <c r="EQ38">
        <v>0</v>
      </c>
      <c r="ER38">
        <v>32008.27</v>
      </c>
      <c r="ES38">
        <v>32008.27</v>
      </c>
      <c r="ET38">
        <v>0</v>
      </c>
      <c r="EU38">
        <v>0</v>
      </c>
      <c r="EV38">
        <v>0</v>
      </c>
      <c r="EW38">
        <v>0</v>
      </c>
      <c r="EX38">
        <v>0</v>
      </c>
      <c r="EZ38">
        <v>0</v>
      </c>
      <c r="FQ38">
        <v>0</v>
      </c>
      <c r="FR38">
        <f t="shared" si="33"/>
        <v>0</v>
      </c>
      <c r="FS38">
        <v>0</v>
      </c>
      <c r="FX38">
        <v>0</v>
      </c>
      <c r="FY38">
        <v>0</v>
      </c>
      <c r="GG38">
        <v>2</v>
      </c>
      <c r="GH38">
        <v>0</v>
      </c>
      <c r="GI38">
        <v>0</v>
      </c>
      <c r="GJ38">
        <v>0</v>
      </c>
      <c r="GK38">
        <f>ROUND(R38*(R12)/100,2)</f>
        <v>0</v>
      </c>
      <c r="GL38">
        <f t="shared" si="34"/>
        <v>0</v>
      </c>
      <c r="GM38">
        <f t="shared" si="35"/>
        <v>76.86</v>
      </c>
      <c r="GN38">
        <f t="shared" si="36"/>
        <v>76.86</v>
      </c>
      <c r="GO38">
        <f t="shared" si="37"/>
        <v>0</v>
      </c>
      <c r="GP38">
        <f t="shared" si="38"/>
        <v>0</v>
      </c>
      <c r="GR38">
        <v>0</v>
      </c>
    </row>
    <row r="40" spans="1:118" ht="12.75">
      <c r="A40" s="2">
        <v>51</v>
      </c>
      <c r="B40" s="2">
        <f>B20</f>
        <v>1</v>
      </c>
      <c r="C40" s="2">
        <f>A20</f>
        <v>3</v>
      </c>
      <c r="D40" s="2">
        <f>ROW(A20)</f>
        <v>20</v>
      </c>
      <c r="E40" s="2"/>
      <c r="F40" s="2" t="str">
        <f>IF(F20&lt;&gt;"",F20,"")</f>
        <v>ОКНА</v>
      </c>
      <c r="G40" s="2" t="str">
        <f>IF(G20&lt;&gt;"",G20,"")</f>
        <v>ОКНА</v>
      </c>
      <c r="H40" s="2"/>
      <c r="I40" s="2"/>
      <c r="J40" s="2"/>
      <c r="K40" s="2"/>
      <c r="L40" s="2"/>
      <c r="M40" s="2"/>
      <c r="N40" s="2"/>
      <c r="O40" s="2">
        <f aca="true" t="shared" si="44" ref="O40:T40">ROUND(AB40,2)</f>
        <v>1753.03</v>
      </c>
      <c r="P40" s="2">
        <f t="shared" si="44"/>
        <v>915.81</v>
      </c>
      <c r="Q40" s="2">
        <f t="shared" si="44"/>
        <v>6.87</v>
      </c>
      <c r="R40" s="2">
        <f t="shared" si="44"/>
        <v>1.21</v>
      </c>
      <c r="S40" s="2">
        <f t="shared" si="44"/>
        <v>830.35</v>
      </c>
      <c r="T40" s="2">
        <f t="shared" si="44"/>
        <v>0</v>
      </c>
      <c r="U40" s="2">
        <f>AH40</f>
        <v>60.51518119999999</v>
      </c>
      <c r="V40" s="2">
        <f>AI40</f>
        <v>0</v>
      </c>
      <c r="W40" s="2">
        <f>ROUND(AJ40,2)</f>
        <v>0</v>
      </c>
      <c r="X40" s="2">
        <f>ROUND(AK40,2)</f>
        <v>793.32</v>
      </c>
      <c r="Y40" s="2">
        <f>ROUND(AL40,2)</f>
        <v>456.7</v>
      </c>
      <c r="Z40" s="2"/>
      <c r="AA40" s="2"/>
      <c r="AB40" s="2">
        <f>ROUND(SUMIF(AA24:AA38,"=22537192",O24:O38),2)</f>
        <v>1753.03</v>
      </c>
      <c r="AC40" s="2">
        <f>ROUND(SUMIF(AA24:AA38,"=22537192",P24:P38),2)</f>
        <v>915.81</v>
      </c>
      <c r="AD40" s="2">
        <f>ROUND(SUMIF(AA24:AA38,"=22537192",Q24:Q38),2)</f>
        <v>6.87</v>
      </c>
      <c r="AE40" s="2">
        <f>ROUND(SUMIF(AA24:AA38,"=22537192",R24:R38),2)</f>
        <v>1.21</v>
      </c>
      <c r="AF40" s="2">
        <f>ROUND(SUMIF(AA24:AA38,"=22537192",S24:S38),2)</f>
        <v>830.35</v>
      </c>
      <c r="AG40" s="2">
        <f>ROUND(SUMIF(AA24:AA38,"=22537192",T24:T38),2)</f>
        <v>0</v>
      </c>
      <c r="AH40" s="2">
        <f>SUMIF(AA24:AA38,"=22537192",U24:U38)</f>
        <v>60.51518119999999</v>
      </c>
      <c r="AI40" s="2">
        <f>SUMIF(AA24:AA38,"=22537192",V24:V38)</f>
        <v>0</v>
      </c>
      <c r="AJ40" s="2">
        <f>ROUND(SUMIF(AA24:AA38,"=22537192",W24:W38),2)</f>
        <v>0</v>
      </c>
      <c r="AK40" s="2">
        <f>ROUND(SUMIF(AA24:AA38,"=22537192",X24:X38),2)</f>
        <v>793.32</v>
      </c>
      <c r="AL40" s="2">
        <f>ROUND(SUMIF(AA24:AA38,"=22537192",Y24:Y38),2)</f>
        <v>456.7</v>
      </c>
      <c r="AM40" s="2"/>
      <c r="AN40" s="2"/>
      <c r="AO40" s="2">
        <f aca="true" t="shared" si="45" ref="AO40:AU40">ROUND(BB40,2)</f>
        <v>0</v>
      </c>
      <c r="AP40" s="2">
        <f t="shared" si="45"/>
        <v>0</v>
      </c>
      <c r="AQ40" s="2">
        <f t="shared" si="45"/>
        <v>0</v>
      </c>
      <c r="AR40" s="2">
        <f t="shared" si="45"/>
        <v>3005.23</v>
      </c>
      <c r="AS40" s="2">
        <f t="shared" si="45"/>
        <v>3005.23</v>
      </c>
      <c r="AT40" s="2">
        <f t="shared" si="45"/>
        <v>0</v>
      </c>
      <c r="AU40" s="2">
        <f t="shared" si="45"/>
        <v>0</v>
      </c>
      <c r="AV40" s="2"/>
      <c r="AW40" s="2"/>
      <c r="AX40" s="2"/>
      <c r="AY40" s="2"/>
      <c r="AZ40" s="2"/>
      <c r="BA40" s="2"/>
      <c r="BB40" s="2">
        <f>ROUND(SUMIF(AA24:AA38,"=22537192",FQ24:FQ38),2)</f>
        <v>0</v>
      </c>
      <c r="BC40" s="2">
        <f>ROUND(SUMIF(AA24:AA38,"=22537192",FR24:FR38),2)</f>
        <v>0</v>
      </c>
      <c r="BD40" s="2">
        <f>ROUND(SUMIF(AA24:AA38,"=22537192",GL24:GL38),2)</f>
        <v>0</v>
      </c>
      <c r="BE40" s="2">
        <f>ROUND(SUMIF(AA24:AA38,"=22537192",GM24:GM38),2)</f>
        <v>3005.23</v>
      </c>
      <c r="BF40" s="2">
        <f>ROUND(SUMIF(AA24:AA38,"=22537192",GN24:GN38),2)</f>
        <v>3005.23</v>
      </c>
      <c r="BG40" s="2">
        <f>ROUND(SUMIF(AA24:AA38,"=22537192",GO24:GO38),2)</f>
        <v>0</v>
      </c>
      <c r="BH40" s="2">
        <f>ROUND(SUMIF(AA24:AA38,"=22537192",GP24:GP38),2)</f>
        <v>0</v>
      </c>
      <c r="BI40" s="2"/>
      <c r="BJ40" s="2"/>
      <c r="BK40" s="2"/>
      <c r="BL40" s="2"/>
      <c r="BM40" s="2"/>
      <c r="BN40" s="2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>
        <v>0</v>
      </c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201</v>
      </c>
      <c r="F42" s="4">
        <f>ROUND(Source!O40,O42)</f>
        <v>1753.03</v>
      </c>
      <c r="G42" s="4" t="s">
        <v>92</v>
      </c>
      <c r="H42" s="4" t="s">
        <v>93</v>
      </c>
      <c r="I42" s="4"/>
      <c r="J42" s="4"/>
      <c r="K42" s="4">
        <v>201</v>
      </c>
      <c r="L42" s="4">
        <v>1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202</v>
      </c>
      <c r="F43" s="4">
        <f>ROUND(Source!P40,O43)</f>
        <v>915.81</v>
      </c>
      <c r="G43" s="4" t="s">
        <v>94</v>
      </c>
      <c r="H43" s="4" t="s">
        <v>95</v>
      </c>
      <c r="I43" s="4"/>
      <c r="J43" s="4"/>
      <c r="K43" s="4">
        <v>202</v>
      </c>
      <c r="L43" s="4">
        <v>2</v>
      </c>
      <c r="M43" s="4">
        <v>3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222</v>
      </c>
      <c r="F44" s="4">
        <f>ROUND(Source!AO40,O44)</f>
        <v>0</v>
      </c>
      <c r="G44" s="4" t="s">
        <v>96</v>
      </c>
      <c r="H44" s="4" t="s">
        <v>97</v>
      </c>
      <c r="I44" s="4"/>
      <c r="J44" s="4"/>
      <c r="K44" s="4">
        <v>222</v>
      </c>
      <c r="L44" s="4">
        <v>3</v>
      </c>
      <c r="M44" s="4">
        <v>3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216</v>
      </c>
      <c r="F45" s="4">
        <f>ROUND(Source!AP40,O45)</f>
        <v>0</v>
      </c>
      <c r="G45" s="4" t="s">
        <v>98</v>
      </c>
      <c r="H45" s="4" t="s">
        <v>99</v>
      </c>
      <c r="I45" s="4"/>
      <c r="J45" s="4"/>
      <c r="K45" s="4">
        <v>216</v>
      </c>
      <c r="L45" s="4">
        <v>4</v>
      </c>
      <c r="M45" s="4">
        <v>3</v>
      </c>
      <c r="N45" s="4" t="s">
        <v>3</v>
      </c>
      <c r="O45" s="4">
        <v>2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223</v>
      </c>
      <c r="F46" s="4">
        <f>ROUND(Source!AQ40,O46)</f>
        <v>0</v>
      </c>
      <c r="G46" s="4" t="s">
        <v>100</v>
      </c>
      <c r="H46" s="4" t="s">
        <v>101</v>
      </c>
      <c r="I46" s="4"/>
      <c r="J46" s="4"/>
      <c r="K46" s="4">
        <v>223</v>
      </c>
      <c r="L46" s="4">
        <v>5</v>
      </c>
      <c r="M46" s="4">
        <v>3</v>
      </c>
      <c r="N46" s="4" t="s">
        <v>3</v>
      </c>
      <c r="O46" s="4">
        <v>2</v>
      </c>
      <c r="P46" s="4"/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203</v>
      </c>
      <c r="F47" s="4">
        <f>ROUND(Source!Q40,O47)</f>
        <v>6.87</v>
      </c>
      <c r="G47" s="4" t="s">
        <v>102</v>
      </c>
      <c r="H47" s="4" t="s">
        <v>103</v>
      </c>
      <c r="I47" s="4"/>
      <c r="J47" s="4"/>
      <c r="K47" s="4">
        <v>203</v>
      </c>
      <c r="L47" s="4">
        <v>6</v>
      </c>
      <c r="M47" s="4">
        <v>3</v>
      </c>
      <c r="N47" s="4" t="s">
        <v>3</v>
      </c>
      <c r="O47" s="4">
        <v>2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204</v>
      </c>
      <c r="F48" s="4">
        <f>ROUND(Source!R40,O48)</f>
        <v>1.21</v>
      </c>
      <c r="G48" s="4" t="s">
        <v>104</v>
      </c>
      <c r="H48" s="4" t="s">
        <v>105</v>
      </c>
      <c r="I48" s="4"/>
      <c r="J48" s="4"/>
      <c r="K48" s="4">
        <v>204</v>
      </c>
      <c r="L48" s="4">
        <v>7</v>
      </c>
      <c r="M48" s="4">
        <v>3</v>
      </c>
      <c r="N48" s="4" t="s">
        <v>3</v>
      </c>
      <c r="O48" s="4">
        <v>2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205</v>
      </c>
      <c r="F49" s="4">
        <f>ROUND(Source!S40,O49)</f>
        <v>830.35</v>
      </c>
      <c r="G49" s="4" t="s">
        <v>106</v>
      </c>
      <c r="H49" s="4" t="s">
        <v>107</v>
      </c>
      <c r="I49" s="4"/>
      <c r="J49" s="4"/>
      <c r="K49" s="4">
        <v>205</v>
      </c>
      <c r="L49" s="4">
        <v>8</v>
      </c>
      <c r="M49" s="4">
        <v>3</v>
      </c>
      <c r="N49" s="4" t="s">
        <v>3</v>
      </c>
      <c r="O49" s="4">
        <v>2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214</v>
      </c>
      <c r="F50" s="4">
        <f>ROUND(Source!AS40,O50)</f>
        <v>3005.23</v>
      </c>
      <c r="G50" s="4" t="s">
        <v>108</v>
      </c>
      <c r="H50" s="4" t="s">
        <v>109</v>
      </c>
      <c r="I50" s="4"/>
      <c r="J50" s="4"/>
      <c r="K50" s="4">
        <v>214</v>
      </c>
      <c r="L50" s="4">
        <v>9</v>
      </c>
      <c r="M50" s="4">
        <v>3</v>
      </c>
      <c r="N50" s="4" t="s">
        <v>3</v>
      </c>
      <c r="O50" s="4">
        <v>2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215</v>
      </c>
      <c r="F51" s="4">
        <f>ROUND(Source!AT40,O51)</f>
        <v>0</v>
      </c>
      <c r="G51" s="4" t="s">
        <v>110</v>
      </c>
      <c r="H51" s="4" t="s">
        <v>111</v>
      </c>
      <c r="I51" s="4"/>
      <c r="J51" s="4"/>
      <c r="K51" s="4">
        <v>215</v>
      </c>
      <c r="L51" s="4">
        <v>10</v>
      </c>
      <c r="M51" s="4">
        <v>3</v>
      </c>
      <c r="N51" s="4" t="s">
        <v>3</v>
      </c>
      <c r="O51" s="4">
        <v>2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217</v>
      </c>
      <c r="F52" s="4">
        <f>ROUND(Source!AU40,O52)</f>
        <v>0</v>
      </c>
      <c r="G52" s="4" t="s">
        <v>112</v>
      </c>
      <c r="H52" s="4" t="s">
        <v>113</v>
      </c>
      <c r="I52" s="4"/>
      <c r="J52" s="4"/>
      <c r="K52" s="4">
        <v>217</v>
      </c>
      <c r="L52" s="4">
        <v>11</v>
      </c>
      <c r="M52" s="4">
        <v>3</v>
      </c>
      <c r="N52" s="4" t="s">
        <v>3</v>
      </c>
      <c r="O52" s="4">
        <v>2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206</v>
      </c>
      <c r="F53" s="4">
        <f>ROUND(Source!T40,O53)</f>
        <v>0</v>
      </c>
      <c r="G53" s="4" t="s">
        <v>114</v>
      </c>
      <c r="H53" s="4" t="s">
        <v>115</v>
      </c>
      <c r="I53" s="4"/>
      <c r="J53" s="4"/>
      <c r="K53" s="4">
        <v>206</v>
      </c>
      <c r="L53" s="4">
        <v>12</v>
      </c>
      <c r="M53" s="4">
        <v>3</v>
      </c>
      <c r="N53" s="4" t="s">
        <v>3</v>
      </c>
      <c r="O53" s="4">
        <v>2</v>
      </c>
      <c r="P53" s="4"/>
    </row>
    <row r="54" spans="1:16" ht="12.75">
      <c r="A54" s="4">
        <v>50</v>
      </c>
      <c r="B54" s="4">
        <v>0</v>
      </c>
      <c r="C54" s="4">
        <v>0</v>
      </c>
      <c r="D54" s="4">
        <v>1</v>
      </c>
      <c r="E54" s="4">
        <v>207</v>
      </c>
      <c r="F54" s="4">
        <f>ROUND(Source!U40,O54)</f>
        <v>60.52</v>
      </c>
      <c r="G54" s="4" t="s">
        <v>116</v>
      </c>
      <c r="H54" s="4" t="s">
        <v>117</v>
      </c>
      <c r="I54" s="4"/>
      <c r="J54" s="4"/>
      <c r="K54" s="4">
        <v>207</v>
      </c>
      <c r="L54" s="4">
        <v>13</v>
      </c>
      <c r="M54" s="4">
        <v>3</v>
      </c>
      <c r="N54" s="4" t="s">
        <v>3</v>
      </c>
      <c r="O54" s="4">
        <v>2</v>
      </c>
      <c r="P54" s="4"/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208</v>
      </c>
      <c r="F55" s="4">
        <f>ROUND(Source!V40,O55)</f>
        <v>0</v>
      </c>
      <c r="G55" s="4" t="s">
        <v>118</v>
      </c>
      <c r="H55" s="4" t="s">
        <v>119</v>
      </c>
      <c r="I55" s="4"/>
      <c r="J55" s="4"/>
      <c r="K55" s="4">
        <v>208</v>
      </c>
      <c r="L55" s="4">
        <v>14</v>
      </c>
      <c r="M55" s="4">
        <v>3</v>
      </c>
      <c r="N55" s="4" t="s">
        <v>3</v>
      </c>
      <c r="O55" s="4">
        <v>2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209</v>
      </c>
      <c r="F56" s="4">
        <f>ROUND(Source!W40,O56)</f>
        <v>0</v>
      </c>
      <c r="G56" s="4" t="s">
        <v>120</v>
      </c>
      <c r="H56" s="4" t="s">
        <v>121</v>
      </c>
      <c r="I56" s="4"/>
      <c r="J56" s="4"/>
      <c r="K56" s="4">
        <v>209</v>
      </c>
      <c r="L56" s="4">
        <v>15</v>
      </c>
      <c r="M56" s="4">
        <v>3</v>
      </c>
      <c r="N56" s="4" t="s">
        <v>3</v>
      </c>
      <c r="O56" s="4">
        <v>2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210</v>
      </c>
      <c r="F57" s="4">
        <f>ROUND(Source!X40,O57)</f>
        <v>793.32</v>
      </c>
      <c r="G57" s="4" t="s">
        <v>122</v>
      </c>
      <c r="H57" s="4" t="s">
        <v>123</v>
      </c>
      <c r="I57" s="4"/>
      <c r="J57" s="4"/>
      <c r="K57" s="4">
        <v>210</v>
      </c>
      <c r="L57" s="4">
        <v>16</v>
      </c>
      <c r="M57" s="4">
        <v>3</v>
      </c>
      <c r="N57" s="4" t="s">
        <v>3</v>
      </c>
      <c r="O57" s="4">
        <v>2</v>
      </c>
      <c r="P57" s="4"/>
    </row>
    <row r="58" spans="1:16" ht="12.75">
      <c r="A58" s="4">
        <v>50</v>
      </c>
      <c r="B58" s="4">
        <v>0</v>
      </c>
      <c r="C58" s="4">
        <v>0</v>
      </c>
      <c r="D58" s="4">
        <v>1</v>
      </c>
      <c r="E58" s="4">
        <v>211</v>
      </c>
      <c r="F58" s="4">
        <f>ROUND(Source!Y40,O58)</f>
        <v>456.7</v>
      </c>
      <c r="G58" s="4" t="s">
        <v>124</v>
      </c>
      <c r="H58" s="4" t="s">
        <v>125</v>
      </c>
      <c r="I58" s="4"/>
      <c r="J58" s="4"/>
      <c r="K58" s="4">
        <v>211</v>
      </c>
      <c r="L58" s="4">
        <v>17</v>
      </c>
      <c r="M58" s="4">
        <v>3</v>
      </c>
      <c r="N58" s="4" t="s">
        <v>3</v>
      </c>
      <c r="O58" s="4">
        <v>2</v>
      </c>
      <c r="P58" s="4"/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224</v>
      </c>
      <c r="F59" s="4">
        <f>ROUND(Source!AR40,O59)</f>
        <v>3005.23</v>
      </c>
      <c r="G59" s="4" t="s">
        <v>126</v>
      </c>
      <c r="H59" s="4" t="s">
        <v>127</v>
      </c>
      <c r="I59" s="4"/>
      <c r="J59" s="4"/>
      <c r="K59" s="4">
        <v>224</v>
      </c>
      <c r="L59" s="4">
        <v>18</v>
      </c>
      <c r="M59" s="4">
        <v>3</v>
      </c>
      <c r="N59" s="4" t="s">
        <v>3</v>
      </c>
      <c r="O59" s="4">
        <v>2</v>
      </c>
      <c r="P59" s="4"/>
    </row>
    <row r="61" spans="1:118" ht="12.75">
      <c r="A61" s="2">
        <v>51</v>
      </c>
      <c r="B61" s="2">
        <f>B12</f>
        <v>85</v>
      </c>
      <c r="C61" s="2">
        <f>A12</f>
        <v>1</v>
      </c>
      <c r="D61" s="2">
        <f>ROW(A12)</f>
        <v>12</v>
      </c>
      <c r="E61" s="2"/>
      <c r="F61" s="2" t="str">
        <f>IF(F12&lt;&gt;"",F12,"")</f>
        <v>ДОМ №3 (ТСН-2001. ТЕРРИТОРИАЛЬНЫЕ СМЕТНЫЕ НОРМАТИВЫ ДЛЯ МОСК</v>
      </c>
      <c r="G61" s="2" t="str">
        <f>IF(G12&lt;&gt;"",G12,"")</f>
        <v>ДОМ №3 Смета на ремонт окон</v>
      </c>
      <c r="H61" s="2"/>
      <c r="I61" s="2"/>
      <c r="J61" s="2"/>
      <c r="K61" s="2"/>
      <c r="L61" s="2"/>
      <c r="M61" s="2"/>
      <c r="N61" s="2"/>
      <c r="O61" s="2">
        <f aca="true" t="shared" si="46" ref="O61:T61">ROUND(O40,2)</f>
        <v>1753.03</v>
      </c>
      <c r="P61" s="2">
        <f t="shared" si="46"/>
        <v>915.81</v>
      </c>
      <c r="Q61" s="2">
        <f t="shared" si="46"/>
        <v>6.87</v>
      </c>
      <c r="R61" s="2">
        <f t="shared" si="46"/>
        <v>1.21</v>
      </c>
      <c r="S61" s="2">
        <f t="shared" si="46"/>
        <v>830.35</v>
      </c>
      <c r="T61" s="2">
        <f t="shared" si="46"/>
        <v>0</v>
      </c>
      <c r="U61" s="2">
        <f>U40</f>
        <v>60.51518119999999</v>
      </c>
      <c r="V61" s="2">
        <f>V40</f>
        <v>0</v>
      </c>
      <c r="W61" s="2">
        <f>ROUND(W40,2)</f>
        <v>0</v>
      </c>
      <c r="X61" s="2">
        <f>ROUND(X40,2)</f>
        <v>793.32</v>
      </c>
      <c r="Y61" s="2">
        <f>ROUND(Y40,2)</f>
        <v>456.7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>
        <f aca="true" t="shared" si="47" ref="AO61:AU61">ROUND(AO40,2)</f>
        <v>0</v>
      </c>
      <c r="AP61" s="2">
        <f t="shared" si="47"/>
        <v>0</v>
      </c>
      <c r="AQ61" s="2">
        <f t="shared" si="47"/>
        <v>0</v>
      </c>
      <c r="AR61" s="2">
        <f t="shared" si="47"/>
        <v>3005.23</v>
      </c>
      <c r="AS61" s="2">
        <f t="shared" si="47"/>
        <v>3005.23</v>
      </c>
      <c r="AT61" s="2">
        <f t="shared" si="47"/>
        <v>0</v>
      </c>
      <c r="AU61" s="2">
        <f t="shared" si="47"/>
        <v>0</v>
      </c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>
        <v>0</v>
      </c>
    </row>
    <row r="63" spans="1:16" ht="12.75">
      <c r="A63" s="4">
        <v>50</v>
      </c>
      <c r="B63" s="4">
        <v>0</v>
      </c>
      <c r="C63" s="4">
        <v>0</v>
      </c>
      <c r="D63" s="4">
        <v>1</v>
      </c>
      <c r="E63" s="4">
        <v>201</v>
      </c>
      <c r="F63" s="4">
        <f>ROUND(Source!O61,O63)</f>
        <v>1753.03</v>
      </c>
      <c r="G63" s="4" t="s">
        <v>92</v>
      </c>
      <c r="H63" s="4" t="s">
        <v>93</v>
      </c>
      <c r="I63" s="4"/>
      <c r="J63" s="4"/>
      <c r="K63" s="4">
        <v>201</v>
      </c>
      <c r="L63" s="4">
        <v>1</v>
      </c>
      <c r="M63" s="4">
        <v>3</v>
      </c>
      <c r="N63" s="4" t="s">
        <v>3</v>
      </c>
      <c r="O63" s="4">
        <v>2</v>
      </c>
      <c r="P63" s="4"/>
    </row>
    <row r="64" spans="1:16" ht="12.75">
      <c r="A64" s="4">
        <v>50</v>
      </c>
      <c r="B64" s="4">
        <v>0</v>
      </c>
      <c r="C64" s="4">
        <v>0</v>
      </c>
      <c r="D64" s="4">
        <v>1</v>
      </c>
      <c r="E64" s="4">
        <v>202</v>
      </c>
      <c r="F64" s="4">
        <f>ROUND(Source!P61,O64)</f>
        <v>915.81</v>
      </c>
      <c r="G64" s="4" t="s">
        <v>94</v>
      </c>
      <c r="H64" s="4" t="s">
        <v>95</v>
      </c>
      <c r="I64" s="4"/>
      <c r="J64" s="4"/>
      <c r="K64" s="4">
        <v>202</v>
      </c>
      <c r="L64" s="4">
        <v>2</v>
      </c>
      <c r="M64" s="4">
        <v>3</v>
      </c>
      <c r="N64" s="4" t="s">
        <v>3</v>
      </c>
      <c r="O64" s="4">
        <v>2</v>
      </c>
      <c r="P64" s="4"/>
    </row>
    <row r="65" spans="1:16" ht="12.75">
      <c r="A65" s="4">
        <v>50</v>
      </c>
      <c r="B65" s="4">
        <v>0</v>
      </c>
      <c r="C65" s="4">
        <v>0</v>
      </c>
      <c r="D65" s="4">
        <v>1</v>
      </c>
      <c r="E65" s="4">
        <v>222</v>
      </c>
      <c r="F65" s="4">
        <f>ROUND(Source!AO61,O65)</f>
        <v>0</v>
      </c>
      <c r="G65" s="4" t="s">
        <v>96</v>
      </c>
      <c r="H65" s="4" t="s">
        <v>97</v>
      </c>
      <c r="I65" s="4"/>
      <c r="J65" s="4"/>
      <c r="K65" s="4">
        <v>222</v>
      </c>
      <c r="L65" s="4">
        <v>3</v>
      </c>
      <c r="M65" s="4">
        <v>3</v>
      </c>
      <c r="N65" s="4" t="s">
        <v>3</v>
      </c>
      <c r="O65" s="4">
        <v>2</v>
      </c>
      <c r="P65" s="4"/>
    </row>
    <row r="66" spans="1:16" ht="12.75">
      <c r="A66" s="4">
        <v>50</v>
      </c>
      <c r="B66" s="4">
        <v>0</v>
      </c>
      <c r="C66" s="4">
        <v>0</v>
      </c>
      <c r="D66" s="4">
        <v>1</v>
      </c>
      <c r="E66" s="4">
        <v>216</v>
      </c>
      <c r="F66" s="4">
        <f>ROUND(Source!AP61,O66)</f>
        <v>0</v>
      </c>
      <c r="G66" s="4" t="s">
        <v>98</v>
      </c>
      <c r="H66" s="4" t="s">
        <v>99</v>
      </c>
      <c r="I66" s="4"/>
      <c r="J66" s="4"/>
      <c r="K66" s="4">
        <v>216</v>
      </c>
      <c r="L66" s="4">
        <v>4</v>
      </c>
      <c r="M66" s="4">
        <v>3</v>
      </c>
      <c r="N66" s="4" t="s">
        <v>3</v>
      </c>
      <c r="O66" s="4">
        <v>2</v>
      </c>
      <c r="P66" s="4"/>
    </row>
    <row r="67" spans="1:16" ht="12.75">
      <c r="A67" s="4">
        <v>50</v>
      </c>
      <c r="B67" s="4">
        <v>0</v>
      </c>
      <c r="C67" s="4">
        <v>0</v>
      </c>
      <c r="D67" s="4">
        <v>1</v>
      </c>
      <c r="E67" s="4">
        <v>223</v>
      </c>
      <c r="F67" s="4">
        <f>ROUND(Source!AQ61,O67)</f>
        <v>0</v>
      </c>
      <c r="G67" s="4" t="s">
        <v>100</v>
      </c>
      <c r="H67" s="4" t="s">
        <v>101</v>
      </c>
      <c r="I67" s="4"/>
      <c r="J67" s="4"/>
      <c r="K67" s="4">
        <v>223</v>
      </c>
      <c r="L67" s="4">
        <v>5</v>
      </c>
      <c r="M67" s="4">
        <v>3</v>
      </c>
      <c r="N67" s="4" t="s">
        <v>3</v>
      </c>
      <c r="O67" s="4">
        <v>2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203</v>
      </c>
      <c r="F68" s="4">
        <f>ROUND(Source!Q61,O68)</f>
        <v>6.87</v>
      </c>
      <c r="G68" s="4" t="s">
        <v>102</v>
      </c>
      <c r="H68" s="4" t="s">
        <v>103</v>
      </c>
      <c r="I68" s="4"/>
      <c r="J68" s="4"/>
      <c r="K68" s="4">
        <v>203</v>
      </c>
      <c r="L68" s="4">
        <v>6</v>
      </c>
      <c r="M68" s="4">
        <v>3</v>
      </c>
      <c r="N68" s="4" t="s">
        <v>3</v>
      </c>
      <c r="O68" s="4">
        <v>2</v>
      </c>
      <c r="P68" s="4"/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204</v>
      </c>
      <c r="F69" s="4">
        <f>ROUND(Source!R61,O69)</f>
        <v>1.21</v>
      </c>
      <c r="G69" s="4" t="s">
        <v>104</v>
      </c>
      <c r="H69" s="4" t="s">
        <v>105</v>
      </c>
      <c r="I69" s="4"/>
      <c r="J69" s="4"/>
      <c r="K69" s="4">
        <v>204</v>
      </c>
      <c r="L69" s="4">
        <v>7</v>
      </c>
      <c r="M69" s="4">
        <v>3</v>
      </c>
      <c r="N69" s="4" t="s">
        <v>3</v>
      </c>
      <c r="O69" s="4">
        <v>2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205</v>
      </c>
      <c r="F70" s="4">
        <f>ROUND(Source!S61,O70)</f>
        <v>830.35</v>
      </c>
      <c r="G70" s="4" t="s">
        <v>106</v>
      </c>
      <c r="H70" s="4" t="s">
        <v>107</v>
      </c>
      <c r="I70" s="4"/>
      <c r="J70" s="4"/>
      <c r="K70" s="4">
        <v>205</v>
      </c>
      <c r="L70" s="4">
        <v>8</v>
      </c>
      <c r="M70" s="4">
        <v>3</v>
      </c>
      <c r="N70" s="4" t="s">
        <v>3</v>
      </c>
      <c r="O70" s="4">
        <v>2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214</v>
      </c>
      <c r="F71" s="4">
        <f>ROUND(Source!AS61,O71)</f>
        <v>3005.23</v>
      </c>
      <c r="G71" s="4" t="s">
        <v>108</v>
      </c>
      <c r="H71" s="4" t="s">
        <v>109</v>
      </c>
      <c r="I71" s="4"/>
      <c r="J71" s="4"/>
      <c r="K71" s="4">
        <v>214</v>
      </c>
      <c r="L71" s="4">
        <v>9</v>
      </c>
      <c r="M71" s="4">
        <v>3</v>
      </c>
      <c r="N71" s="4" t="s">
        <v>3</v>
      </c>
      <c r="O71" s="4">
        <v>2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215</v>
      </c>
      <c r="F72" s="4">
        <f>ROUND(Source!AT61,O72)</f>
        <v>0</v>
      </c>
      <c r="G72" s="4" t="s">
        <v>110</v>
      </c>
      <c r="H72" s="4" t="s">
        <v>111</v>
      </c>
      <c r="I72" s="4"/>
      <c r="J72" s="4"/>
      <c r="K72" s="4">
        <v>215</v>
      </c>
      <c r="L72" s="4">
        <v>10</v>
      </c>
      <c r="M72" s="4">
        <v>3</v>
      </c>
      <c r="N72" s="4" t="s">
        <v>3</v>
      </c>
      <c r="O72" s="4">
        <v>2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217</v>
      </c>
      <c r="F73" s="4">
        <f>ROUND(Source!AU61,O73)</f>
        <v>0</v>
      </c>
      <c r="G73" s="4" t="s">
        <v>112</v>
      </c>
      <c r="H73" s="4" t="s">
        <v>113</v>
      </c>
      <c r="I73" s="4"/>
      <c r="J73" s="4"/>
      <c r="K73" s="4">
        <v>217</v>
      </c>
      <c r="L73" s="4">
        <v>11</v>
      </c>
      <c r="M73" s="4">
        <v>3</v>
      </c>
      <c r="N73" s="4" t="s">
        <v>3</v>
      </c>
      <c r="O73" s="4">
        <v>2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206</v>
      </c>
      <c r="F74" s="4">
        <f>ROUND(Source!T61,O74)</f>
        <v>0</v>
      </c>
      <c r="G74" s="4" t="s">
        <v>114</v>
      </c>
      <c r="H74" s="4" t="s">
        <v>115</v>
      </c>
      <c r="I74" s="4"/>
      <c r="J74" s="4"/>
      <c r="K74" s="4">
        <v>206</v>
      </c>
      <c r="L74" s="4">
        <v>12</v>
      </c>
      <c r="M74" s="4">
        <v>3</v>
      </c>
      <c r="N74" s="4" t="s">
        <v>3</v>
      </c>
      <c r="O74" s="4">
        <v>2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207</v>
      </c>
      <c r="F75" s="4">
        <f>ROUND(Source!U61,O75)</f>
        <v>60.52</v>
      </c>
      <c r="G75" s="4" t="s">
        <v>116</v>
      </c>
      <c r="H75" s="4" t="s">
        <v>117</v>
      </c>
      <c r="I75" s="4"/>
      <c r="J75" s="4"/>
      <c r="K75" s="4">
        <v>207</v>
      </c>
      <c r="L75" s="4">
        <v>13</v>
      </c>
      <c r="M75" s="4">
        <v>3</v>
      </c>
      <c r="N75" s="4" t="s">
        <v>3</v>
      </c>
      <c r="O75" s="4">
        <v>2</v>
      </c>
      <c r="P75" s="4"/>
    </row>
    <row r="76" spans="1:16" ht="12.75">
      <c r="A76" s="4">
        <v>50</v>
      </c>
      <c r="B76" s="4">
        <v>0</v>
      </c>
      <c r="C76" s="4">
        <v>0</v>
      </c>
      <c r="D76" s="4">
        <v>1</v>
      </c>
      <c r="E76" s="4">
        <v>208</v>
      </c>
      <c r="F76" s="4">
        <f>ROUND(Source!V61,O76)</f>
        <v>0</v>
      </c>
      <c r="G76" s="4" t="s">
        <v>118</v>
      </c>
      <c r="H76" s="4" t="s">
        <v>119</v>
      </c>
      <c r="I76" s="4"/>
      <c r="J76" s="4"/>
      <c r="K76" s="4">
        <v>208</v>
      </c>
      <c r="L76" s="4">
        <v>14</v>
      </c>
      <c r="M76" s="4">
        <v>3</v>
      </c>
      <c r="N76" s="4" t="s">
        <v>3</v>
      </c>
      <c r="O76" s="4">
        <v>2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209</v>
      </c>
      <c r="F77" s="4">
        <f>ROUND(Source!W61,O77)</f>
        <v>0</v>
      </c>
      <c r="G77" s="4" t="s">
        <v>120</v>
      </c>
      <c r="H77" s="4" t="s">
        <v>121</v>
      </c>
      <c r="I77" s="4"/>
      <c r="J77" s="4"/>
      <c r="K77" s="4">
        <v>209</v>
      </c>
      <c r="L77" s="4">
        <v>15</v>
      </c>
      <c r="M77" s="4">
        <v>3</v>
      </c>
      <c r="N77" s="4" t="s">
        <v>3</v>
      </c>
      <c r="O77" s="4">
        <v>2</v>
      </c>
      <c r="P77" s="4"/>
    </row>
    <row r="78" spans="1:16" ht="12.75">
      <c r="A78" s="4">
        <v>50</v>
      </c>
      <c r="B78" s="4">
        <v>0</v>
      </c>
      <c r="C78" s="4">
        <v>0</v>
      </c>
      <c r="D78" s="4">
        <v>1</v>
      </c>
      <c r="E78" s="4">
        <v>210</v>
      </c>
      <c r="F78" s="4">
        <f>ROUND(Source!X61,O78)</f>
        <v>793.32</v>
      </c>
      <c r="G78" s="4" t="s">
        <v>122</v>
      </c>
      <c r="H78" s="4" t="s">
        <v>123</v>
      </c>
      <c r="I78" s="4"/>
      <c r="J78" s="4"/>
      <c r="K78" s="4">
        <v>210</v>
      </c>
      <c r="L78" s="4">
        <v>16</v>
      </c>
      <c r="M78" s="4">
        <v>3</v>
      </c>
      <c r="N78" s="4" t="s">
        <v>3</v>
      </c>
      <c r="O78" s="4">
        <v>2</v>
      </c>
      <c r="P78" s="4"/>
    </row>
    <row r="79" spans="1:16" ht="12.75">
      <c r="A79" s="4">
        <v>50</v>
      </c>
      <c r="B79" s="4">
        <v>0</v>
      </c>
      <c r="C79" s="4">
        <v>0</v>
      </c>
      <c r="D79" s="4">
        <v>1</v>
      </c>
      <c r="E79" s="4">
        <v>211</v>
      </c>
      <c r="F79" s="4">
        <f>ROUND(Source!Y61,O79)</f>
        <v>456.7</v>
      </c>
      <c r="G79" s="4" t="s">
        <v>124</v>
      </c>
      <c r="H79" s="4" t="s">
        <v>125</v>
      </c>
      <c r="I79" s="4"/>
      <c r="J79" s="4"/>
      <c r="K79" s="4">
        <v>211</v>
      </c>
      <c r="L79" s="4">
        <v>17</v>
      </c>
      <c r="M79" s="4">
        <v>3</v>
      </c>
      <c r="N79" s="4" t="s">
        <v>3</v>
      </c>
      <c r="O79" s="4">
        <v>2</v>
      </c>
      <c r="P79" s="4"/>
    </row>
    <row r="80" spans="1:16" ht="12.75">
      <c r="A80" s="4">
        <v>50</v>
      </c>
      <c r="B80" s="4">
        <v>0</v>
      </c>
      <c r="C80" s="4">
        <v>0</v>
      </c>
      <c r="D80" s="4">
        <v>1</v>
      </c>
      <c r="E80" s="4">
        <v>224</v>
      </c>
      <c r="F80" s="4">
        <f>ROUND(Source!AR61,O80)</f>
        <v>3005.23</v>
      </c>
      <c r="G80" s="4" t="s">
        <v>126</v>
      </c>
      <c r="H80" s="4" t="s">
        <v>127</v>
      </c>
      <c r="I80" s="4"/>
      <c r="J80" s="4"/>
      <c r="K80" s="4">
        <v>224</v>
      </c>
      <c r="L80" s="4">
        <v>18</v>
      </c>
      <c r="M80" s="4">
        <v>3</v>
      </c>
      <c r="N80" s="4" t="s">
        <v>3</v>
      </c>
      <c r="O80" s="4">
        <v>2</v>
      </c>
      <c r="P80" s="4"/>
    </row>
    <row r="83" ht="12.75">
      <c r="A83">
        <v>-1</v>
      </c>
    </row>
    <row r="85" spans="1:15" ht="12.75">
      <c r="A85">
        <v>75</v>
      </c>
      <c r="B85" t="s">
        <v>128</v>
      </c>
      <c r="C85">
        <v>2000</v>
      </c>
      <c r="D85">
        <v>0</v>
      </c>
      <c r="E85">
        <v>1</v>
      </c>
      <c r="F85">
        <v>1</v>
      </c>
      <c r="G85">
        <v>0</v>
      </c>
      <c r="H85">
        <v>2</v>
      </c>
      <c r="I85">
        <v>1</v>
      </c>
      <c r="J85">
        <v>1</v>
      </c>
      <c r="K85">
        <v>94</v>
      </c>
      <c r="L85">
        <v>86</v>
      </c>
      <c r="M85">
        <v>0</v>
      </c>
      <c r="N85">
        <v>22537192</v>
      </c>
      <c r="O85">
        <v>1</v>
      </c>
    </row>
    <row r="89" spans="1:5" ht="12.75">
      <c r="A89">
        <v>65</v>
      </c>
      <c r="C89">
        <v>1</v>
      </c>
      <c r="D89">
        <v>0</v>
      </c>
      <c r="E8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129</v>
      </c>
      <c r="F1">
        <v>0</v>
      </c>
      <c r="G1">
        <v>0</v>
      </c>
      <c r="H1">
        <v>0</v>
      </c>
      <c r="I1" t="s">
        <v>2</v>
      </c>
      <c r="K1">
        <v>1</v>
      </c>
      <c r="L1">
        <v>48816</v>
      </c>
    </row>
    <row r="12" spans="1:133" ht="12.75">
      <c r="A12">
        <v>1</v>
      </c>
      <c r="B12">
        <v>42</v>
      </c>
      <c r="C12">
        <v>0</v>
      </c>
      <c r="E12">
        <v>0</v>
      </c>
      <c r="F12" t="s">
        <v>4</v>
      </c>
      <c r="G12" t="s">
        <v>5</v>
      </c>
      <c r="I12">
        <v>0</v>
      </c>
      <c r="O12">
        <v>0</v>
      </c>
      <c r="P12">
        <v>0</v>
      </c>
      <c r="Q12">
        <v>0</v>
      </c>
      <c r="R12">
        <v>180</v>
      </c>
      <c r="V12">
        <v>0</v>
      </c>
      <c r="BH12" t="s">
        <v>6</v>
      </c>
      <c r="BI12" t="s">
        <v>7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-1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8</v>
      </c>
      <c r="BZ12" t="s">
        <v>9</v>
      </c>
      <c r="CA12" t="s">
        <v>10</v>
      </c>
      <c r="CB12" t="s">
        <v>10</v>
      </c>
      <c r="CC12" t="s">
        <v>10</v>
      </c>
      <c r="CD12" t="s">
        <v>10</v>
      </c>
      <c r="CE12" t="s">
        <v>11</v>
      </c>
      <c r="CF12">
        <v>0</v>
      </c>
      <c r="CG12">
        <v>0</v>
      </c>
      <c r="CH12">
        <v>0</v>
      </c>
      <c r="EC12">
        <v>0</v>
      </c>
    </row>
    <row r="14" spans="1:5" ht="12.75">
      <c r="A14">
        <v>22</v>
      </c>
      <c r="B14">
        <v>0</v>
      </c>
      <c r="C14">
        <v>0</v>
      </c>
      <c r="D14">
        <v>22537192</v>
      </c>
      <c r="E14">
        <v>0</v>
      </c>
    </row>
    <row r="16" spans="1:63" ht="12.75">
      <c r="A16">
        <v>3</v>
      </c>
      <c r="B16">
        <v>1</v>
      </c>
      <c r="C16" t="s">
        <v>12</v>
      </c>
      <c r="D16" t="s">
        <v>12</v>
      </c>
      <c r="E16">
        <v>3.01</v>
      </c>
      <c r="F16">
        <v>0</v>
      </c>
      <c r="G16">
        <v>0</v>
      </c>
      <c r="H16">
        <v>0</v>
      </c>
      <c r="I16">
        <v>3.01</v>
      </c>
      <c r="J16">
        <v>0.83</v>
      </c>
      <c r="AI16">
        <v>0</v>
      </c>
      <c r="AJ16">
        <v>1</v>
      </c>
      <c r="AN16">
        <v>0</v>
      </c>
      <c r="AT16">
        <v>1753.03</v>
      </c>
      <c r="AU16">
        <v>915.81</v>
      </c>
      <c r="AV16">
        <v>0</v>
      </c>
      <c r="AW16">
        <v>0</v>
      </c>
      <c r="AX16">
        <v>0</v>
      </c>
      <c r="AY16">
        <v>6.87</v>
      </c>
      <c r="AZ16">
        <v>1.21</v>
      </c>
      <c r="BA16">
        <v>830.35</v>
      </c>
      <c r="BB16">
        <v>3005.23</v>
      </c>
      <c r="BC16">
        <v>0</v>
      </c>
      <c r="BD16">
        <v>0</v>
      </c>
      <c r="BE16">
        <v>0</v>
      </c>
      <c r="BF16">
        <v>60.52</v>
      </c>
      <c r="BG16">
        <v>0</v>
      </c>
      <c r="BH16">
        <v>0</v>
      </c>
      <c r="BI16">
        <v>793.32</v>
      </c>
      <c r="BJ16">
        <v>456.7</v>
      </c>
      <c r="BK16">
        <v>3005.23</v>
      </c>
    </row>
    <row r="18" spans="1:10" ht="12.75">
      <c r="A18">
        <v>51</v>
      </c>
      <c r="E18">
        <v>3.01</v>
      </c>
      <c r="F18">
        <v>0</v>
      </c>
      <c r="G18">
        <v>0</v>
      </c>
      <c r="H18">
        <v>0</v>
      </c>
      <c r="I18">
        <v>3.01</v>
      </c>
      <c r="J18">
        <v>0.83</v>
      </c>
    </row>
    <row r="20" spans="1:15" ht="12.75">
      <c r="A20">
        <v>50</v>
      </c>
      <c r="B20">
        <v>0</v>
      </c>
      <c r="C20">
        <v>0</v>
      </c>
      <c r="D20">
        <v>1</v>
      </c>
      <c r="E20">
        <v>201</v>
      </c>
      <c r="F20">
        <v>1753.03</v>
      </c>
      <c r="G20" t="s">
        <v>92</v>
      </c>
      <c r="H20" t="s">
        <v>93</v>
      </c>
      <c r="K20">
        <v>201</v>
      </c>
      <c r="L20">
        <v>1</v>
      </c>
      <c r="M20">
        <v>3</v>
      </c>
      <c r="O20">
        <v>2</v>
      </c>
    </row>
    <row r="21" spans="1:15" ht="12.75">
      <c r="A21">
        <v>50</v>
      </c>
      <c r="B21">
        <v>0</v>
      </c>
      <c r="C21">
        <v>0</v>
      </c>
      <c r="D21">
        <v>1</v>
      </c>
      <c r="E21">
        <v>202</v>
      </c>
      <c r="F21">
        <v>915.81</v>
      </c>
      <c r="G21" t="s">
        <v>94</v>
      </c>
      <c r="H21" t="s">
        <v>95</v>
      </c>
      <c r="K21">
        <v>202</v>
      </c>
      <c r="L21">
        <v>2</v>
      </c>
      <c r="M21">
        <v>3</v>
      </c>
      <c r="O21">
        <v>2</v>
      </c>
    </row>
    <row r="22" spans="1:15" ht="12.75">
      <c r="A22">
        <v>50</v>
      </c>
      <c r="B22">
        <v>0</v>
      </c>
      <c r="C22">
        <v>0</v>
      </c>
      <c r="D22">
        <v>1</v>
      </c>
      <c r="E22">
        <v>222</v>
      </c>
      <c r="F22">
        <v>0</v>
      </c>
      <c r="G22" t="s">
        <v>96</v>
      </c>
      <c r="H22" t="s">
        <v>97</v>
      </c>
      <c r="K22">
        <v>222</v>
      </c>
      <c r="L22">
        <v>3</v>
      </c>
      <c r="M22">
        <v>3</v>
      </c>
      <c r="O22">
        <v>2</v>
      </c>
    </row>
    <row r="23" spans="1:15" ht="12.75">
      <c r="A23">
        <v>50</v>
      </c>
      <c r="B23">
        <v>0</v>
      </c>
      <c r="C23">
        <v>0</v>
      </c>
      <c r="D23">
        <v>1</v>
      </c>
      <c r="E23">
        <v>216</v>
      </c>
      <c r="F23">
        <v>0</v>
      </c>
      <c r="G23" t="s">
        <v>98</v>
      </c>
      <c r="H23" t="s">
        <v>99</v>
      </c>
      <c r="K23">
        <v>216</v>
      </c>
      <c r="L23">
        <v>4</v>
      </c>
      <c r="M23">
        <v>3</v>
      </c>
      <c r="O23">
        <v>2</v>
      </c>
    </row>
    <row r="24" spans="1:15" ht="12.75">
      <c r="A24">
        <v>50</v>
      </c>
      <c r="B24">
        <v>0</v>
      </c>
      <c r="C24">
        <v>0</v>
      </c>
      <c r="D24">
        <v>1</v>
      </c>
      <c r="E24">
        <v>223</v>
      </c>
      <c r="F24">
        <v>0</v>
      </c>
      <c r="G24" t="s">
        <v>100</v>
      </c>
      <c r="H24" t="s">
        <v>101</v>
      </c>
      <c r="K24">
        <v>223</v>
      </c>
      <c r="L24">
        <v>5</v>
      </c>
      <c r="M24">
        <v>3</v>
      </c>
      <c r="O24">
        <v>2</v>
      </c>
    </row>
    <row r="25" spans="1:15" ht="12.75">
      <c r="A25">
        <v>50</v>
      </c>
      <c r="B25">
        <v>0</v>
      </c>
      <c r="C25">
        <v>0</v>
      </c>
      <c r="D25">
        <v>1</v>
      </c>
      <c r="E25">
        <v>203</v>
      </c>
      <c r="F25">
        <v>6.87</v>
      </c>
      <c r="G25" t="s">
        <v>102</v>
      </c>
      <c r="H25" t="s">
        <v>103</v>
      </c>
      <c r="K25">
        <v>203</v>
      </c>
      <c r="L25">
        <v>6</v>
      </c>
      <c r="M25">
        <v>3</v>
      </c>
      <c r="O25">
        <v>2</v>
      </c>
    </row>
    <row r="26" spans="1:15" ht="12.75">
      <c r="A26">
        <v>50</v>
      </c>
      <c r="B26">
        <v>0</v>
      </c>
      <c r="C26">
        <v>0</v>
      </c>
      <c r="D26">
        <v>1</v>
      </c>
      <c r="E26">
        <v>204</v>
      </c>
      <c r="F26">
        <v>1.21</v>
      </c>
      <c r="G26" t="s">
        <v>104</v>
      </c>
      <c r="H26" t="s">
        <v>105</v>
      </c>
      <c r="K26">
        <v>204</v>
      </c>
      <c r="L26">
        <v>7</v>
      </c>
      <c r="M26">
        <v>3</v>
      </c>
      <c r="O26">
        <v>2</v>
      </c>
    </row>
    <row r="27" spans="1:15" ht="12.75">
      <c r="A27">
        <v>50</v>
      </c>
      <c r="B27">
        <v>0</v>
      </c>
      <c r="C27">
        <v>0</v>
      </c>
      <c r="D27">
        <v>1</v>
      </c>
      <c r="E27">
        <v>205</v>
      </c>
      <c r="F27">
        <v>830.35</v>
      </c>
      <c r="G27" t="s">
        <v>106</v>
      </c>
      <c r="H27" t="s">
        <v>107</v>
      </c>
      <c r="K27">
        <v>205</v>
      </c>
      <c r="L27">
        <v>8</v>
      </c>
      <c r="M27">
        <v>3</v>
      </c>
      <c r="O27">
        <v>2</v>
      </c>
    </row>
    <row r="28" spans="1:15" ht="12.75">
      <c r="A28">
        <v>50</v>
      </c>
      <c r="B28">
        <v>0</v>
      </c>
      <c r="C28">
        <v>0</v>
      </c>
      <c r="D28">
        <v>1</v>
      </c>
      <c r="E28">
        <v>214</v>
      </c>
      <c r="F28">
        <v>3005.23</v>
      </c>
      <c r="G28" t="s">
        <v>108</v>
      </c>
      <c r="H28" t="s">
        <v>109</v>
      </c>
      <c r="K28">
        <v>214</v>
      </c>
      <c r="L28">
        <v>9</v>
      </c>
      <c r="M28">
        <v>3</v>
      </c>
      <c r="O28">
        <v>2</v>
      </c>
    </row>
    <row r="29" spans="1:15" ht="12.75">
      <c r="A29">
        <v>50</v>
      </c>
      <c r="B29">
        <v>0</v>
      </c>
      <c r="C29">
        <v>0</v>
      </c>
      <c r="D29">
        <v>1</v>
      </c>
      <c r="E29">
        <v>215</v>
      </c>
      <c r="F29">
        <v>0</v>
      </c>
      <c r="G29" t="s">
        <v>110</v>
      </c>
      <c r="H29" t="s">
        <v>111</v>
      </c>
      <c r="K29">
        <v>215</v>
      </c>
      <c r="L29">
        <v>10</v>
      </c>
      <c r="M29">
        <v>3</v>
      </c>
      <c r="O29">
        <v>2</v>
      </c>
    </row>
    <row r="30" spans="1:15" ht="12.75">
      <c r="A30">
        <v>50</v>
      </c>
      <c r="B30">
        <v>0</v>
      </c>
      <c r="C30">
        <v>0</v>
      </c>
      <c r="D30">
        <v>1</v>
      </c>
      <c r="E30">
        <v>217</v>
      </c>
      <c r="F30">
        <v>0</v>
      </c>
      <c r="G30" t="s">
        <v>112</v>
      </c>
      <c r="H30" t="s">
        <v>113</v>
      </c>
      <c r="K30">
        <v>217</v>
      </c>
      <c r="L30">
        <v>11</v>
      </c>
      <c r="M30">
        <v>3</v>
      </c>
      <c r="O30">
        <v>2</v>
      </c>
    </row>
    <row r="31" spans="1:15" ht="12.75">
      <c r="A31">
        <v>50</v>
      </c>
      <c r="B31">
        <v>0</v>
      </c>
      <c r="C31">
        <v>0</v>
      </c>
      <c r="D31">
        <v>1</v>
      </c>
      <c r="E31">
        <v>206</v>
      </c>
      <c r="F31">
        <v>0</v>
      </c>
      <c r="G31" t="s">
        <v>114</v>
      </c>
      <c r="H31" t="s">
        <v>115</v>
      </c>
      <c r="K31">
        <v>206</v>
      </c>
      <c r="L31">
        <v>12</v>
      </c>
      <c r="M31">
        <v>3</v>
      </c>
      <c r="O31">
        <v>2</v>
      </c>
    </row>
    <row r="32" spans="1:15" ht="12.75">
      <c r="A32">
        <v>50</v>
      </c>
      <c r="B32">
        <v>0</v>
      </c>
      <c r="C32">
        <v>0</v>
      </c>
      <c r="D32">
        <v>1</v>
      </c>
      <c r="E32">
        <v>207</v>
      </c>
      <c r="F32">
        <v>60.52</v>
      </c>
      <c r="G32" t="s">
        <v>116</v>
      </c>
      <c r="H32" t="s">
        <v>117</v>
      </c>
      <c r="K32">
        <v>207</v>
      </c>
      <c r="L32">
        <v>13</v>
      </c>
      <c r="M32">
        <v>3</v>
      </c>
      <c r="O32">
        <v>2</v>
      </c>
    </row>
    <row r="33" spans="1:15" ht="12.75">
      <c r="A33">
        <v>50</v>
      </c>
      <c r="B33">
        <v>0</v>
      </c>
      <c r="C33">
        <v>0</v>
      </c>
      <c r="D33">
        <v>1</v>
      </c>
      <c r="E33">
        <v>208</v>
      </c>
      <c r="F33">
        <v>0</v>
      </c>
      <c r="G33" t="s">
        <v>118</v>
      </c>
      <c r="H33" t="s">
        <v>119</v>
      </c>
      <c r="K33">
        <v>208</v>
      </c>
      <c r="L33">
        <v>14</v>
      </c>
      <c r="M33">
        <v>3</v>
      </c>
      <c r="O33">
        <v>2</v>
      </c>
    </row>
    <row r="34" spans="1:15" ht="12.75">
      <c r="A34">
        <v>50</v>
      </c>
      <c r="B34">
        <v>0</v>
      </c>
      <c r="C34">
        <v>0</v>
      </c>
      <c r="D34">
        <v>1</v>
      </c>
      <c r="E34">
        <v>209</v>
      </c>
      <c r="F34">
        <v>0</v>
      </c>
      <c r="G34" t="s">
        <v>120</v>
      </c>
      <c r="H34" t="s">
        <v>121</v>
      </c>
      <c r="K34">
        <v>209</v>
      </c>
      <c r="L34">
        <v>15</v>
      </c>
      <c r="M34">
        <v>3</v>
      </c>
      <c r="O34">
        <v>2</v>
      </c>
    </row>
    <row r="35" spans="1:15" ht="12.75">
      <c r="A35">
        <v>50</v>
      </c>
      <c r="B35">
        <v>0</v>
      </c>
      <c r="C35">
        <v>0</v>
      </c>
      <c r="D35">
        <v>1</v>
      </c>
      <c r="E35">
        <v>210</v>
      </c>
      <c r="F35">
        <v>793.32</v>
      </c>
      <c r="G35" t="s">
        <v>122</v>
      </c>
      <c r="H35" t="s">
        <v>123</v>
      </c>
      <c r="K35">
        <v>210</v>
      </c>
      <c r="L35">
        <v>16</v>
      </c>
      <c r="M35">
        <v>3</v>
      </c>
      <c r="O35">
        <v>2</v>
      </c>
    </row>
    <row r="36" spans="1:15" ht="12.75">
      <c r="A36">
        <v>50</v>
      </c>
      <c r="B36">
        <v>0</v>
      </c>
      <c r="C36">
        <v>0</v>
      </c>
      <c r="D36">
        <v>1</v>
      </c>
      <c r="E36">
        <v>211</v>
      </c>
      <c r="F36">
        <v>456.7</v>
      </c>
      <c r="G36" t="s">
        <v>124</v>
      </c>
      <c r="H36" t="s">
        <v>125</v>
      </c>
      <c r="K36">
        <v>211</v>
      </c>
      <c r="L36">
        <v>17</v>
      </c>
      <c r="M36">
        <v>3</v>
      </c>
      <c r="O36">
        <v>2</v>
      </c>
    </row>
    <row r="37" spans="1:15" ht="12.75">
      <c r="A37">
        <v>50</v>
      </c>
      <c r="B37">
        <v>0</v>
      </c>
      <c r="C37">
        <v>0</v>
      </c>
      <c r="D37">
        <v>1</v>
      </c>
      <c r="E37">
        <v>224</v>
      </c>
      <c r="F37">
        <v>3005.23</v>
      </c>
      <c r="G37" t="s">
        <v>126</v>
      </c>
      <c r="H37" t="s">
        <v>127</v>
      </c>
      <c r="K37">
        <v>224</v>
      </c>
      <c r="L37">
        <v>18</v>
      </c>
      <c r="M37">
        <v>3</v>
      </c>
      <c r="O37">
        <v>2</v>
      </c>
    </row>
    <row r="39" ht="12.75">
      <c r="A39">
        <v>-1</v>
      </c>
    </row>
    <row r="42" spans="1:15" ht="12.75">
      <c r="A42">
        <v>75</v>
      </c>
      <c r="B42" t="s">
        <v>128</v>
      </c>
      <c r="C42">
        <v>2000</v>
      </c>
      <c r="D42">
        <v>0</v>
      </c>
      <c r="E42">
        <v>1</v>
      </c>
      <c r="F42">
        <v>1</v>
      </c>
      <c r="G42">
        <v>0</v>
      </c>
      <c r="H42">
        <v>2</v>
      </c>
      <c r="I42">
        <v>1</v>
      </c>
      <c r="J42">
        <v>1</v>
      </c>
      <c r="K42">
        <v>94</v>
      </c>
      <c r="L42">
        <v>86</v>
      </c>
      <c r="M42">
        <v>0</v>
      </c>
      <c r="N42">
        <v>22537192</v>
      </c>
      <c r="O42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22537192</v>
      </c>
      <c r="C1">
        <v>22537233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130</v>
      </c>
      <c r="K1" t="s">
        <v>131</v>
      </c>
      <c r="L1">
        <v>1191</v>
      </c>
      <c r="N1">
        <v>1013</v>
      </c>
      <c r="O1" t="s">
        <v>132</v>
      </c>
      <c r="P1" t="s">
        <v>132</v>
      </c>
      <c r="Q1">
        <v>1</v>
      </c>
      <c r="Y1">
        <v>179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179</v>
      </c>
      <c r="AV1">
        <v>1</v>
      </c>
      <c r="AW1">
        <v>2</v>
      </c>
      <c r="AX1">
        <v>22537248</v>
      </c>
      <c r="AY1">
        <v>2</v>
      </c>
      <c r="AZ1">
        <v>4096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22537192</v>
      </c>
      <c r="C2">
        <v>22537233</v>
      </c>
      <c r="D2">
        <v>3970501</v>
      </c>
      <c r="E2">
        <v>3</v>
      </c>
      <c r="F2">
        <v>1</v>
      </c>
      <c r="G2">
        <v>7157832</v>
      </c>
      <c r="H2">
        <v>2</v>
      </c>
      <c r="I2" t="s">
        <v>133</v>
      </c>
      <c r="J2" t="s">
        <v>134</v>
      </c>
      <c r="K2" t="s">
        <v>135</v>
      </c>
      <c r="L2">
        <v>1344</v>
      </c>
      <c r="N2">
        <v>1008</v>
      </c>
      <c r="O2" t="s">
        <v>136</v>
      </c>
      <c r="P2" t="s">
        <v>136</v>
      </c>
      <c r="Q2">
        <v>1</v>
      </c>
      <c r="Y2">
        <v>55.56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55.56</v>
      </c>
      <c r="AV2">
        <v>0</v>
      </c>
      <c r="AW2">
        <v>2</v>
      </c>
      <c r="AX2">
        <v>22537249</v>
      </c>
      <c r="AY2">
        <v>2</v>
      </c>
      <c r="AZ2">
        <v>77824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22537192</v>
      </c>
      <c r="C3">
        <v>22537233</v>
      </c>
      <c r="D3">
        <v>4012592</v>
      </c>
      <c r="E3">
        <v>3</v>
      </c>
      <c r="F3">
        <v>1</v>
      </c>
      <c r="G3">
        <v>7157832</v>
      </c>
      <c r="H3">
        <v>3</v>
      </c>
      <c r="I3" t="s">
        <v>137</v>
      </c>
      <c r="J3" t="s">
        <v>138</v>
      </c>
      <c r="K3" t="s">
        <v>139</v>
      </c>
      <c r="L3">
        <v>1344</v>
      </c>
      <c r="N3">
        <v>1008</v>
      </c>
      <c r="O3" t="s">
        <v>136</v>
      </c>
      <c r="P3" t="s">
        <v>136</v>
      </c>
      <c r="Q3">
        <v>1</v>
      </c>
      <c r="Y3">
        <v>0.71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0.71</v>
      </c>
      <c r="AV3">
        <v>0</v>
      </c>
      <c r="AW3">
        <v>2</v>
      </c>
      <c r="AX3">
        <v>22537254</v>
      </c>
      <c r="AY3">
        <v>2</v>
      </c>
      <c r="AZ3">
        <v>32768</v>
      </c>
      <c r="BA3">
        <v>4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ROW(Source!A24)</f>
        <v>24</v>
      </c>
      <c r="B4">
        <v>22537192</v>
      </c>
      <c r="C4">
        <v>22537233</v>
      </c>
      <c r="D4">
        <v>7231827</v>
      </c>
      <c r="E4">
        <v>1</v>
      </c>
      <c r="F4">
        <v>1</v>
      </c>
      <c r="G4">
        <v>7157832</v>
      </c>
      <c r="H4">
        <v>3</v>
      </c>
      <c r="I4" t="s">
        <v>24</v>
      </c>
      <c r="J4" t="s">
        <v>27</v>
      </c>
      <c r="K4" t="s">
        <v>25</v>
      </c>
      <c r="L4">
        <v>1339</v>
      </c>
      <c r="N4">
        <v>1007</v>
      </c>
      <c r="O4" t="s">
        <v>26</v>
      </c>
      <c r="P4" t="s">
        <v>26</v>
      </c>
      <c r="Q4">
        <v>1</v>
      </c>
      <c r="Y4">
        <v>0.2464</v>
      </c>
      <c r="AA4">
        <v>7.07</v>
      </c>
      <c r="AB4">
        <v>0</v>
      </c>
      <c r="AC4">
        <v>0</v>
      </c>
      <c r="AD4">
        <v>0</v>
      </c>
      <c r="AN4">
        <v>0</v>
      </c>
      <c r="AO4">
        <v>0</v>
      </c>
      <c r="AP4">
        <v>0</v>
      </c>
      <c r="AQ4">
        <v>0</v>
      </c>
      <c r="AR4">
        <v>0</v>
      </c>
      <c r="AT4">
        <v>0.2464</v>
      </c>
      <c r="AV4">
        <v>0</v>
      </c>
      <c r="AW4">
        <v>1</v>
      </c>
      <c r="AX4">
        <v>-1</v>
      </c>
      <c r="AY4">
        <v>0</v>
      </c>
      <c r="AZ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ROW(Source!A24)</f>
        <v>24</v>
      </c>
      <c r="B5">
        <v>22537192</v>
      </c>
      <c r="C5">
        <v>22537233</v>
      </c>
      <c r="D5">
        <v>7234970</v>
      </c>
      <c r="E5">
        <v>1</v>
      </c>
      <c r="F5">
        <v>1</v>
      </c>
      <c r="G5">
        <v>7157832</v>
      </c>
      <c r="H5">
        <v>3</v>
      </c>
      <c r="I5" t="s">
        <v>38</v>
      </c>
      <c r="J5" t="s">
        <v>40</v>
      </c>
      <c r="K5" t="s">
        <v>39</v>
      </c>
      <c r="L5">
        <v>1339</v>
      </c>
      <c r="N5">
        <v>1007</v>
      </c>
      <c r="O5" t="s">
        <v>26</v>
      </c>
      <c r="P5" t="s">
        <v>26</v>
      </c>
      <c r="Q5">
        <v>1</v>
      </c>
      <c r="Y5">
        <v>0.08</v>
      </c>
      <c r="AA5">
        <v>441.1</v>
      </c>
      <c r="AB5">
        <v>0</v>
      </c>
      <c r="AC5">
        <v>0</v>
      </c>
      <c r="AD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0.08</v>
      </c>
      <c r="AV5">
        <v>0</v>
      </c>
      <c r="AW5">
        <v>1</v>
      </c>
      <c r="AX5">
        <v>-1</v>
      </c>
      <c r="AY5">
        <v>0</v>
      </c>
      <c r="AZ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ROW(Source!A24)</f>
        <v>24</v>
      </c>
      <c r="B6">
        <v>22537192</v>
      </c>
      <c r="C6">
        <v>22537233</v>
      </c>
      <c r="D6">
        <v>7234971</v>
      </c>
      <c r="E6">
        <v>1</v>
      </c>
      <c r="F6">
        <v>1</v>
      </c>
      <c r="G6">
        <v>7157832</v>
      </c>
      <c r="H6">
        <v>3</v>
      </c>
      <c r="I6" t="s">
        <v>34</v>
      </c>
      <c r="J6" t="s">
        <v>36</v>
      </c>
      <c r="K6" t="s">
        <v>35</v>
      </c>
      <c r="L6">
        <v>1339</v>
      </c>
      <c r="N6">
        <v>1007</v>
      </c>
      <c r="O6" t="s">
        <v>26</v>
      </c>
      <c r="P6" t="s">
        <v>26</v>
      </c>
      <c r="Q6">
        <v>1</v>
      </c>
      <c r="Y6">
        <v>3.44</v>
      </c>
      <c r="AA6">
        <v>475.68</v>
      </c>
      <c r="AB6">
        <v>0</v>
      </c>
      <c r="AC6">
        <v>0</v>
      </c>
      <c r="AD6">
        <v>0</v>
      </c>
      <c r="AN6">
        <v>0</v>
      </c>
      <c r="AO6">
        <v>0</v>
      </c>
      <c r="AP6">
        <v>0</v>
      </c>
      <c r="AQ6">
        <v>0</v>
      </c>
      <c r="AR6">
        <v>0</v>
      </c>
      <c r="AT6">
        <v>3.44</v>
      </c>
      <c r="AV6">
        <v>0</v>
      </c>
      <c r="AW6">
        <v>1</v>
      </c>
      <c r="AX6">
        <v>-1</v>
      </c>
      <c r="AY6">
        <v>0</v>
      </c>
      <c r="AZ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ROW(Source!A24)</f>
        <v>24</v>
      </c>
      <c r="B7">
        <v>22537192</v>
      </c>
      <c r="C7">
        <v>22537233</v>
      </c>
      <c r="D7">
        <v>7234984</v>
      </c>
      <c r="E7">
        <v>1</v>
      </c>
      <c r="F7">
        <v>1</v>
      </c>
      <c r="G7">
        <v>7157832</v>
      </c>
      <c r="H7">
        <v>3</v>
      </c>
      <c r="I7" t="s">
        <v>29</v>
      </c>
      <c r="J7" t="s">
        <v>32</v>
      </c>
      <c r="K7" t="s">
        <v>30</v>
      </c>
      <c r="L7">
        <v>1348</v>
      </c>
      <c r="N7">
        <v>1009</v>
      </c>
      <c r="O7" t="s">
        <v>31</v>
      </c>
      <c r="P7" t="s">
        <v>31</v>
      </c>
      <c r="Q7">
        <v>1000</v>
      </c>
      <c r="Y7">
        <v>1.408</v>
      </c>
      <c r="AA7">
        <v>1823.55</v>
      </c>
      <c r="AB7">
        <v>0</v>
      </c>
      <c r="AC7">
        <v>0</v>
      </c>
      <c r="AD7">
        <v>0</v>
      </c>
      <c r="AN7">
        <v>0</v>
      </c>
      <c r="AO7">
        <v>0</v>
      </c>
      <c r="AP7">
        <v>0</v>
      </c>
      <c r="AQ7">
        <v>0</v>
      </c>
      <c r="AR7">
        <v>0</v>
      </c>
      <c r="AT7">
        <v>1.408</v>
      </c>
      <c r="AV7">
        <v>0</v>
      </c>
      <c r="AW7">
        <v>1</v>
      </c>
      <c r="AX7">
        <v>-1</v>
      </c>
      <c r="AY7">
        <v>0</v>
      </c>
      <c r="AZ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ROW(Source!A29)</f>
        <v>29</v>
      </c>
      <c r="B8">
        <v>22537192</v>
      </c>
      <c r="C8">
        <v>22537259</v>
      </c>
      <c r="D8">
        <v>7231449</v>
      </c>
      <c r="E8">
        <v>7157832</v>
      </c>
      <c r="F8">
        <v>1</v>
      </c>
      <c r="G8">
        <v>7157832</v>
      </c>
      <c r="H8">
        <v>2</v>
      </c>
      <c r="I8" t="s">
        <v>140</v>
      </c>
      <c r="J8" t="s">
        <v>141</v>
      </c>
      <c r="K8" t="s">
        <v>142</v>
      </c>
      <c r="L8">
        <v>1368</v>
      </c>
      <c r="N8">
        <v>1011</v>
      </c>
      <c r="O8" t="s">
        <v>143</v>
      </c>
      <c r="P8" t="s">
        <v>143</v>
      </c>
      <c r="Q8">
        <v>1</v>
      </c>
      <c r="Y8">
        <v>0.25</v>
      </c>
      <c r="AA8">
        <v>0</v>
      </c>
      <c r="AB8">
        <v>1.59</v>
      </c>
      <c r="AC8">
        <v>0.09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0.25</v>
      </c>
      <c r="AV8">
        <v>0</v>
      </c>
      <c r="AW8">
        <v>2</v>
      </c>
      <c r="AX8">
        <v>22537267</v>
      </c>
      <c r="AY8">
        <v>2</v>
      </c>
      <c r="AZ8">
        <v>4096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ROW(Source!A29)</f>
        <v>29</v>
      </c>
      <c r="B9">
        <v>22537192</v>
      </c>
      <c r="C9">
        <v>22537259</v>
      </c>
      <c r="D9">
        <v>7231827</v>
      </c>
      <c r="E9">
        <v>7157832</v>
      </c>
      <c r="F9">
        <v>1</v>
      </c>
      <c r="G9">
        <v>7157832</v>
      </c>
      <c r="H9">
        <v>3</v>
      </c>
      <c r="I9" t="s">
        <v>24</v>
      </c>
      <c r="J9" t="s">
        <v>27</v>
      </c>
      <c r="K9" t="s">
        <v>25</v>
      </c>
      <c r="L9">
        <v>1339</v>
      </c>
      <c r="N9">
        <v>1007</v>
      </c>
      <c r="O9" t="s">
        <v>26</v>
      </c>
      <c r="P9" t="s">
        <v>26</v>
      </c>
      <c r="Q9">
        <v>1</v>
      </c>
      <c r="Y9">
        <v>0.0035</v>
      </c>
      <c r="AA9">
        <v>7.07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0.0035</v>
      </c>
      <c r="AV9">
        <v>0</v>
      </c>
      <c r="AW9">
        <v>2</v>
      </c>
      <c r="AX9">
        <v>22537268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ROW(Source!A29)</f>
        <v>29</v>
      </c>
      <c r="B10">
        <v>22537192</v>
      </c>
      <c r="C10">
        <v>22537259</v>
      </c>
      <c r="D10">
        <v>7235014</v>
      </c>
      <c r="E10">
        <v>7157832</v>
      </c>
      <c r="F10">
        <v>1</v>
      </c>
      <c r="G10">
        <v>7157832</v>
      </c>
      <c r="H10">
        <v>3</v>
      </c>
      <c r="I10" t="s">
        <v>144</v>
      </c>
      <c r="J10" t="s">
        <v>145</v>
      </c>
      <c r="K10" t="s">
        <v>146</v>
      </c>
      <c r="L10">
        <v>1346</v>
      </c>
      <c r="N10">
        <v>1009</v>
      </c>
      <c r="O10" t="s">
        <v>72</v>
      </c>
      <c r="P10" t="s">
        <v>72</v>
      </c>
      <c r="Q10">
        <v>1</v>
      </c>
      <c r="Y10">
        <v>2</v>
      </c>
      <c r="AA10">
        <v>37.74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</v>
      </c>
      <c r="AV10">
        <v>0</v>
      </c>
      <c r="AW10">
        <v>2</v>
      </c>
      <c r="AX10">
        <v>22537269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ROW(Source!A30)</f>
        <v>30</v>
      </c>
      <c r="B11">
        <v>22537192</v>
      </c>
      <c r="C11">
        <v>22537270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130</v>
      </c>
      <c r="K11" t="s">
        <v>131</v>
      </c>
      <c r="L11">
        <v>1191</v>
      </c>
      <c r="N11">
        <v>1013</v>
      </c>
      <c r="O11" t="s">
        <v>132</v>
      </c>
      <c r="P11" t="s">
        <v>132</v>
      </c>
      <c r="Q11">
        <v>1</v>
      </c>
      <c r="Y11">
        <v>385.2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385.2</v>
      </c>
      <c r="AV11">
        <v>1</v>
      </c>
      <c r="AW11">
        <v>2</v>
      </c>
      <c r="AX11">
        <v>22537279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ROW(Source!A30)</f>
        <v>30</v>
      </c>
      <c r="B12">
        <v>22537192</v>
      </c>
      <c r="C12">
        <v>22537270</v>
      </c>
      <c r="D12">
        <v>3970501</v>
      </c>
      <c r="E12">
        <v>3</v>
      </c>
      <c r="F12">
        <v>1</v>
      </c>
      <c r="G12">
        <v>7157832</v>
      </c>
      <c r="H12">
        <v>2</v>
      </c>
      <c r="I12" t="s">
        <v>133</v>
      </c>
      <c r="J12" t="s">
        <v>134</v>
      </c>
      <c r="K12" t="s">
        <v>135</v>
      </c>
      <c r="L12">
        <v>1344</v>
      </c>
      <c r="N12">
        <v>1008</v>
      </c>
      <c r="O12" t="s">
        <v>136</v>
      </c>
      <c r="P12" t="s">
        <v>136</v>
      </c>
      <c r="Q12">
        <v>1</v>
      </c>
      <c r="Y12">
        <v>131.2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131.2</v>
      </c>
      <c r="AV12">
        <v>0</v>
      </c>
      <c r="AW12">
        <v>1</v>
      </c>
      <c r="AX12">
        <v>-1</v>
      </c>
      <c r="AY12">
        <v>0</v>
      </c>
      <c r="AZ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ROW(Source!A30)</f>
        <v>30</v>
      </c>
      <c r="B13">
        <v>22537192</v>
      </c>
      <c r="C13">
        <v>22537270</v>
      </c>
      <c r="D13">
        <v>4012582</v>
      </c>
      <c r="E13">
        <v>3</v>
      </c>
      <c r="F13">
        <v>1</v>
      </c>
      <c r="G13">
        <v>7157832</v>
      </c>
      <c r="H13">
        <v>3</v>
      </c>
      <c r="I13" t="s">
        <v>137</v>
      </c>
      <c r="J13" t="s">
        <v>147</v>
      </c>
      <c r="K13" t="s">
        <v>148</v>
      </c>
      <c r="L13">
        <v>1348</v>
      </c>
      <c r="N13">
        <v>1009</v>
      </c>
      <c r="O13" t="s">
        <v>31</v>
      </c>
      <c r="P13" t="s">
        <v>31</v>
      </c>
      <c r="Q13">
        <v>1000</v>
      </c>
      <c r="Y13">
        <v>8.1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8.1</v>
      </c>
      <c r="AV13">
        <v>0</v>
      </c>
      <c r="AW13">
        <v>2</v>
      </c>
      <c r="AX13">
        <v>22537281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ROW(Source!A30)</f>
        <v>30</v>
      </c>
      <c r="B14">
        <v>22537192</v>
      </c>
      <c r="C14">
        <v>22537270</v>
      </c>
      <c r="D14">
        <v>7234970</v>
      </c>
      <c r="E14">
        <v>1</v>
      </c>
      <c r="F14">
        <v>1</v>
      </c>
      <c r="G14">
        <v>7157832</v>
      </c>
      <c r="H14">
        <v>3</v>
      </c>
      <c r="I14" t="s">
        <v>38</v>
      </c>
      <c r="J14" t="s">
        <v>40</v>
      </c>
      <c r="K14" t="s">
        <v>39</v>
      </c>
      <c r="L14">
        <v>1339</v>
      </c>
      <c r="N14">
        <v>1007</v>
      </c>
      <c r="O14" t="s">
        <v>26</v>
      </c>
      <c r="P14" t="s">
        <v>26</v>
      </c>
      <c r="Q14">
        <v>1</v>
      </c>
      <c r="Y14">
        <v>4.4</v>
      </c>
      <c r="AA14">
        <v>441.1</v>
      </c>
      <c r="AB14">
        <v>0</v>
      </c>
      <c r="AC14">
        <v>0</v>
      </c>
      <c r="AD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4.4</v>
      </c>
      <c r="AV14">
        <v>0</v>
      </c>
      <c r="AW14">
        <v>1</v>
      </c>
      <c r="AX14">
        <v>-1</v>
      </c>
      <c r="AY14">
        <v>0</v>
      </c>
      <c r="AZ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ROW(Source!A32)</f>
        <v>32</v>
      </c>
      <c r="B15">
        <v>22537192</v>
      </c>
      <c r="C15">
        <v>22537283</v>
      </c>
      <c r="D15">
        <v>7157835</v>
      </c>
      <c r="E15">
        <v>7157832</v>
      </c>
      <c r="F15">
        <v>1</v>
      </c>
      <c r="G15">
        <v>7157832</v>
      </c>
      <c r="H15">
        <v>1</v>
      </c>
      <c r="I15" t="s">
        <v>130</v>
      </c>
      <c r="K15" t="s">
        <v>131</v>
      </c>
      <c r="L15">
        <v>1191</v>
      </c>
      <c r="N15">
        <v>1013</v>
      </c>
      <c r="O15" t="s">
        <v>132</v>
      </c>
      <c r="P15" t="s">
        <v>132</v>
      </c>
      <c r="Q15">
        <v>1</v>
      </c>
      <c r="Y15">
        <v>40.5</v>
      </c>
      <c r="AA15">
        <v>0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40.5</v>
      </c>
      <c r="AV15">
        <v>1</v>
      </c>
      <c r="AW15">
        <v>2</v>
      </c>
      <c r="AX15">
        <v>22537296</v>
      </c>
      <c r="AY15">
        <v>2</v>
      </c>
      <c r="AZ15">
        <v>4096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ROW(Source!A32)</f>
        <v>32</v>
      </c>
      <c r="B16">
        <v>22537192</v>
      </c>
      <c r="C16">
        <v>22537283</v>
      </c>
      <c r="D16">
        <v>3970501</v>
      </c>
      <c r="E16">
        <v>3</v>
      </c>
      <c r="F16">
        <v>1</v>
      </c>
      <c r="G16">
        <v>7157832</v>
      </c>
      <c r="H16">
        <v>2</v>
      </c>
      <c r="I16" t="s">
        <v>133</v>
      </c>
      <c r="J16" t="s">
        <v>134</v>
      </c>
      <c r="K16" t="s">
        <v>135</v>
      </c>
      <c r="L16">
        <v>1344</v>
      </c>
      <c r="N16">
        <v>1008</v>
      </c>
      <c r="O16" t="s">
        <v>136</v>
      </c>
      <c r="P16" t="s">
        <v>136</v>
      </c>
      <c r="Q16">
        <v>1</v>
      </c>
      <c r="Y16">
        <v>0.4748</v>
      </c>
      <c r="AA16">
        <v>0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0.4748</v>
      </c>
      <c r="AV16">
        <v>0</v>
      </c>
      <c r="AW16">
        <v>2</v>
      </c>
      <c r="AX16">
        <v>22537297</v>
      </c>
      <c r="AY16">
        <v>2</v>
      </c>
      <c r="AZ16">
        <v>77824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ROW(Source!A32)</f>
        <v>32</v>
      </c>
      <c r="B17">
        <v>22537192</v>
      </c>
      <c r="C17">
        <v>22537283</v>
      </c>
      <c r="D17">
        <v>4012592</v>
      </c>
      <c r="E17">
        <v>3</v>
      </c>
      <c r="F17">
        <v>1</v>
      </c>
      <c r="G17">
        <v>7157832</v>
      </c>
      <c r="H17">
        <v>3</v>
      </c>
      <c r="I17" t="s">
        <v>137</v>
      </c>
      <c r="J17" t="s">
        <v>138</v>
      </c>
      <c r="K17" t="s">
        <v>139</v>
      </c>
      <c r="L17">
        <v>1344</v>
      </c>
      <c r="N17">
        <v>1008</v>
      </c>
      <c r="O17" t="s">
        <v>136</v>
      </c>
      <c r="P17" t="s">
        <v>136</v>
      </c>
      <c r="Q17">
        <v>1</v>
      </c>
      <c r="Y17">
        <v>1.19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1.19</v>
      </c>
      <c r="AV17">
        <v>0</v>
      </c>
      <c r="AW17">
        <v>2</v>
      </c>
      <c r="AX17">
        <v>22537301</v>
      </c>
      <c r="AY17">
        <v>2</v>
      </c>
      <c r="AZ17">
        <v>32768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ROW(Source!A32)</f>
        <v>32</v>
      </c>
      <c r="B18">
        <v>22537192</v>
      </c>
      <c r="C18">
        <v>22537283</v>
      </c>
      <c r="D18">
        <v>7232178</v>
      </c>
      <c r="E18">
        <v>1</v>
      </c>
      <c r="F18">
        <v>1</v>
      </c>
      <c r="G18">
        <v>7157832</v>
      </c>
      <c r="H18">
        <v>3</v>
      </c>
      <c r="I18" t="s">
        <v>65</v>
      </c>
      <c r="J18" t="s">
        <v>68</v>
      </c>
      <c r="K18" t="s">
        <v>66</v>
      </c>
      <c r="L18">
        <v>1296</v>
      </c>
      <c r="N18">
        <v>1002</v>
      </c>
      <c r="O18" t="s">
        <v>67</v>
      </c>
      <c r="P18" t="s">
        <v>67</v>
      </c>
      <c r="Q18">
        <v>1</v>
      </c>
      <c r="Y18">
        <v>0.0248</v>
      </c>
      <c r="AA18">
        <v>34.75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T18">
        <v>0.0248</v>
      </c>
      <c r="AV18">
        <v>0</v>
      </c>
      <c r="AW18">
        <v>1</v>
      </c>
      <c r="AX18">
        <v>-1</v>
      </c>
      <c r="AY18">
        <v>0</v>
      </c>
      <c r="AZ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ROW(Source!A32)</f>
        <v>32</v>
      </c>
      <c r="B19">
        <v>22537192</v>
      </c>
      <c r="C19">
        <v>22537283</v>
      </c>
      <c r="D19">
        <v>7232429</v>
      </c>
      <c r="E19">
        <v>1</v>
      </c>
      <c r="F19">
        <v>1</v>
      </c>
      <c r="G19">
        <v>7157832</v>
      </c>
      <c r="H19">
        <v>3</v>
      </c>
      <c r="I19" t="s">
        <v>70</v>
      </c>
      <c r="J19" t="s">
        <v>73</v>
      </c>
      <c r="K19" t="s">
        <v>71</v>
      </c>
      <c r="L19">
        <v>1346</v>
      </c>
      <c r="N19">
        <v>1009</v>
      </c>
      <c r="O19" t="s">
        <v>72</v>
      </c>
      <c r="P19" t="s">
        <v>72</v>
      </c>
      <c r="Q19">
        <v>1</v>
      </c>
      <c r="Y19">
        <v>7.8</v>
      </c>
      <c r="AA19">
        <v>20.19</v>
      </c>
      <c r="AB19">
        <v>0</v>
      </c>
      <c r="AC19">
        <v>0</v>
      </c>
      <c r="AD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7.8</v>
      </c>
      <c r="AV19">
        <v>0</v>
      </c>
      <c r="AW19">
        <v>1</v>
      </c>
      <c r="AX19">
        <v>-1</v>
      </c>
      <c r="AY19">
        <v>0</v>
      </c>
      <c r="AZ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ROW(Source!A32)</f>
        <v>32</v>
      </c>
      <c r="B20">
        <v>22537192</v>
      </c>
      <c r="C20">
        <v>22537283</v>
      </c>
      <c r="D20">
        <v>3977848</v>
      </c>
      <c r="E20">
        <v>3</v>
      </c>
      <c r="F20">
        <v>1</v>
      </c>
      <c r="G20">
        <v>7157832</v>
      </c>
      <c r="H20">
        <v>3</v>
      </c>
      <c r="I20" t="s">
        <v>149</v>
      </c>
      <c r="K20" t="s">
        <v>150</v>
      </c>
      <c r="L20">
        <v>1348</v>
      </c>
      <c r="N20">
        <v>1009</v>
      </c>
      <c r="O20" t="s">
        <v>31</v>
      </c>
      <c r="P20" t="s">
        <v>31</v>
      </c>
      <c r="Q20">
        <v>1000</v>
      </c>
      <c r="Y20">
        <v>0.005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0.005</v>
      </c>
      <c r="AV20">
        <v>0</v>
      </c>
      <c r="AW20">
        <v>2</v>
      </c>
      <c r="AX20">
        <v>22537298</v>
      </c>
      <c r="AY20">
        <v>1</v>
      </c>
      <c r="AZ20">
        <v>0</v>
      </c>
      <c r="BA20">
        <v>18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ROW(Source!A35)</f>
        <v>35</v>
      </c>
      <c r="B21">
        <v>22537192</v>
      </c>
      <c r="C21">
        <v>22537304</v>
      </c>
      <c r="D21">
        <v>7157835</v>
      </c>
      <c r="E21">
        <v>7157832</v>
      </c>
      <c r="F21">
        <v>1</v>
      </c>
      <c r="G21">
        <v>7157832</v>
      </c>
      <c r="H21">
        <v>1</v>
      </c>
      <c r="I21" t="s">
        <v>130</v>
      </c>
      <c r="K21" t="s">
        <v>131</v>
      </c>
      <c r="L21">
        <v>1191</v>
      </c>
      <c r="N21">
        <v>1013</v>
      </c>
      <c r="O21" t="s">
        <v>132</v>
      </c>
      <c r="P21" t="s">
        <v>132</v>
      </c>
      <c r="Q21">
        <v>1</v>
      </c>
      <c r="Y21">
        <v>79.2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79.2</v>
      </c>
      <c r="AV21">
        <v>1</v>
      </c>
      <c r="AW21">
        <v>2</v>
      </c>
      <c r="AX21">
        <v>22537317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ROW(Source!A35)</f>
        <v>35</v>
      </c>
      <c r="B22">
        <v>22537192</v>
      </c>
      <c r="C22">
        <v>22537304</v>
      </c>
      <c r="D22">
        <v>3970501</v>
      </c>
      <c r="E22">
        <v>3</v>
      </c>
      <c r="F22">
        <v>1</v>
      </c>
      <c r="G22">
        <v>7157832</v>
      </c>
      <c r="H22">
        <v>2</v>
      </c>
      <c r="I22" t="s">
        <v>133</v>
      </c>
      <c r="J22" t="s">
        <v>134</v>
      </c>
      <c r="K22" t="s">
        <v>135</v>
      </c>
      <c r="L22">
        <v>1344</v>
      </c>
      <c r="N22">
        <v>1008</v>
      </c>
      <c r="O22" t="s">
        <v>136</v>
      </c>
      <c r="P22" t="s">
        <v>136</v>
      </c>
      <c r="Q22">
        <v>1</v>
      </c>
      <c r="Y22">
        <v>0.05</v>
      </c>
      <c r="AA22">
        <v>0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0.05</v>
      </c>
      <c r="AV22">
        <v>0</v>
      </c>
      <c r="AW22">
        <v>2</v>
      </c>
      <c r="AX22">
        <v>22537318</v>
      </c>
      <c r="AY22">
        <v>2</v>
      </c>
      <c r="AZ22">
        <v>77824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ROW(Source!A35)</f>
        <v>35</v>
      </c>
      <c r="B23">
        <v>22537192</v>
      </c>
      <c r="C23">
        <v>22537304</v>
      </c>
      <c r="D23">
        <v>4012592</v>
      </c>
      <c r="E23">
        <v>3</v>
      </c>
      <c r="F23">
        <v>1</v>
      </c>
      <c r="G23">
        <v>7157832</v>
      </c>
      <c r="H23">
        <v>3</v>
      </c>
      <c r="I23" t="s">
        <v>137</v>
      </c>
      <c r="J23" t="s">
        <v>138</v>
      </c>
      <c r="K23" t="s">
        <v>139</v>
      </c>
      <c r="L23">
        <v>1344</v>
      </c>
      <c r="N23">
        <v>1008</v>
      </c>
      <c r="O23" t="s">
        <v>136</v>
      </c>
      <c r="P23" t="s">
        <v>136</v>
      </c>
      <c r="Q23">
        <v>1</v>
      </c>
      <c r="Y23">
        <v>3.22</v>
      </c>
      <c r="AA23">
        <v>0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3.22</v>
      </c>
      <c r="AV23">
        <v>0</v>
      </c>
      <c r="AW23">
        <v>2</v>
      </c>
      <c r="AX23">
        <v>22537322</v>
      </c>
      <c r="AY23">
        <v>2</v>
      </c>
      <c r="AZ23">
        <v>32768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ROW(Source!A35)</f>
        <v>35</v>
      </c>
      <c r="B24">
        <v>22537192</v>
      </c>
      <c r="C24">
        <v>22537304</v>
      </c>
      <c r="D24">
        <v>7233149</v>
      </c>
      <c r="E24">
        <v>7157832</v>
      </c>
      <c r="F24">
        <v>1</v>
      </c>
      <c r="G24">
        <v>7157832</v>
      </c>
      <c r="H24">
        <v>3</v>
      </c>
      <c r="I24" t="s">
        <v>85</v>
      </c>
      <c r="J24" t="s">
        <v>87</v>
      </c>
      <c r="K24" t="s">
        <v>86</v>
      </c>
      <c r="L24">
        <v>1348</v>
      </c>
      <c r="N24">
        <v>1009</v>
      </c>
      <c r="O24" t="s">
        <v>31</v>
      </c>
      <c r="P24" t="s">
        <v>31</v>
      </c>
      <c r="Q24">
        <v>1000</v>
      </c>
      <c r="Y24">
        <v>0.0027</v>
      </c>
      <c r="AA24">
        <v>2278.84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0.0027</v>
      </c>
      <c r="AV24">
        <v>0</v>
      </c>
      <c r="AW24">
        <v>2</v>
      </c>
      <c r="AX24">
        <v>22537319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ROW(Source!A35)</f>
        <v>35</v>
      </c>
      <c r="B25">
        <v>22537192</v>
      </c>
      <c r="C25">
        <v>22537304</v>
      </c>
      <c r="D25">
        <v>7232177</v>
      </c>
      <c r="E25">
        <v>7157832</v>
      </c>
      <c r="F25">
        <v>1</v>
      </c>
      <c r="G25">
        <v>7157832</v>
      </c>
      <c r="H25">
        <v>3</v>
      </c>
      <c r="I25" t="s">
        <v>89</v>
      </c>
      <c r="J25" t="s">
        <v>91</v>
      </c>
      <c r="K25" t="s">
        <v>90</v>
      </c>
      <c r="L25">
        <v>1348</v>
      </c>
      <c r="N25">
        <v>1009</v>
      </c>
      <c r="O25" t="s">
        <v>31</v>
      </c>
      <c r="P25" t="s">
        <v>31</v>
      </c>
      <c r="Q25">
        <v>1000</v>
      </c>
      <c r="Y25">
        <v>0.0201</v>
      </c>
      <c r="AA25">
        <v>32008.27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0.0201</v>
      </c>
      <c r="AV25">
        <v>0</v>
      </c>
      <c r="AW25">
        <v>2</v>
      </c>
      <c r="AX25">
        <v>22537320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ROW(Source!A35)</f>
        <v>35</v>
      </c>
      <c r="B26">
        <v>22537192</v>
      </c>
      <c r="C26">
        <v>22537304</v>
      </c>
      <c r="D26">
        <v>7232429</v>
      </c>
      <c r="E26">
        <v>7157832</v>
      </c>
      <c r="F26">
        <v>1</v>
      </c>
      <c r="G26">
        <v>7157832</v>
      </c>
      <c r="H26">
        <v>3</v>
      </c>
      <c r="I26" t="s">
        <v>70</v>
      </c>
      <c r="J26" t="s">
        <v>73</v>
      </c>
      <c r="K26" t="s">
        <v>71</v>
      </c>
      <c r="L26">
        <v>1346</v>
      </c>
      <c r="N26">
        <v>1009</v>
      </c>
      <c r="O26" t="s">
        <v>72</v>
      </c>
      <c r="P26" t="s">
        <v>72</v>
      </c>
      <c r="Q26">
        <v>1</v>
      </c>
      <c r="Y26">
        <v>9E-07</v>
      </c>
      <c r="AA26">
        <v>20.19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9E-07</v>
      </c>
      <c r="AV26">
        <v>0</v>
      </c>
      <c r="AW26">
        <v>2</v>
      </c>
      <c r="AX26">
        <v>22537321</v>
      </c>
      <c r="AY26">
        <v>2</v>
      </c>
      <c r="AZ26">
        <v>45056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ROW(Source!A36)</f>
        <v>36</v>
      </c>
      <c r="B27">
        <v>22537192</v>
      </c>
      <c r="C27">
        <v>22537323</v>
      </c>
      <c r="D27">
        <v>7157835</v>
      </c>
      <c r="E27">
        <v>7157832</v>
      </c>
      <c r="F27">
        <v>1</v>
      </c>
      <c r="G27">
        <v>7157832</v>
      </c>
      <c r="H27">
        <v>1</v>
      </c>
      <c r="I27" t="s">
        <v>130</v>
      </c>
      <c r="K27" t="s">
        <v>131</v>
      </c>
      <c r="L27">
        <v>1191</v>
      </c>
      <c r="N27">
        <v>1013</v>
      </c>
      <c r="O27" t="s">
        <v>132</v>
      </c>
      <c r="P27" t="s">
        <v>132</v>
      </c>
      <c r="Q27">
        <v>1</v>
      </c>
      <c r="Y27">
        <v>36.1</v>
      </c>
      <c r="AA27">
        <v>0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36.1</v>
      </c>
      <c r="AV27">
        <v>1</v>
      </c>
      <c r="AW27">
        <v>2</v>
      </c>
      <c r="AX27">
        <v>22537334</v>
      </c>
      <c r="AY27">
        <v>2</v>
      </c>
      <c r="AZ27">
        <v>4096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ROW(Source!A36)</f>
        <v>36</v>
      </c>
      <c r="B28">
        <v>22537192</v>
      </c>
      <c r="C28">
        <v>22537323</v>
      </c>
      <c r="D28">
        <v>3970501</v>
      </c>
      <c r="E28">
        <v>3</v>
      </c>
      <c r="F28">
        <v>1</v>
      </c>
      <c r="G28">
        <v>7157832</v>
      </c>
      <c r="H28">
        <v>2</v>
      </c>
      <c r="I28" t="s">
        <v>133</v>
      </c>
      <c r="J28" t="s">
        <v>134</v>
      </c>
      <c r="K28" t="s">
        <v>135</v>
      </c>
      <c r="L28">
        <v>1344</v>
      </c>
      <c r="N28">
        <v>1008</v>
      </c>
      <c r="O28" t="s">
        <v>136</v>
      </c>
      <c r="P28" t="s">
        <v>136</v>
      </c>
      <c r="Q28">
        <v>1</v>
      </c>
      <c r="Y28">
        <v>0.47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0.47</v>
      </c>
      <c r="AV28">
        <v>0</v>
      </c>
      <c r="AW28">
        <v>2</v>
      </c>
      <c r="AX28">
        <v>22537335</v>
      </c>
      <c r="AY28">
        <v>2</v>
      </c>
      <c r="AZ28">
        <v>77824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ROW(Source!A36)</f>
        <v>36</v>
      </c>
      <c r="B29">
        <v>22537192</v>
      </c>
      <c r="C29">
        <v>22537323</v>
      </c>
      <c r="D29">
        <v>4012592</v>
      </c>
      <c r="E29">
        <v>3</v>
      </c>
      <c r="F29">
        <v>1</v>
      </c>
      <c r="G29">
        <v>7157832</v>
      </c>
      <c r="H29">
        <v>3</v>
      </c>
      <c r="I29" t="s">
        <v>137</v>
      </c>
      <c r="J29" t="s">
        <v>138</v>
      </c>
      <c r="K29" t="s">
        <v>139</v>
      </c>
      <c r="L29">
        <v>1344</v>
      </c>
      <c r="N29">
        <v>1008</v>
      </c>
      <c r="O29" t="s">
        <v>136</v>
      </c>
      <c r="P29" t="s">
        <v>136</v>
      </c>
      <c r="Q29">
        <v>1</v>
      </c>
      <c r="Y29">
        <v>1.75</v>
      </c>
      <c r="AA29">
        <v>0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1.75</v>
      </c>
      <c r="AV29">
        <v>0</v>
      </c>
      <c r="AW29">
        <v>2</v>
      </c>
      <c r="AX29">
        <v>22537338</v>
      </c>
      <c r="AY29">
        <v>2</v>
      </c>
      <c r="AZ29">
        <v>32768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ROW(Source!A36)</f>
        <v>36</v>
      </c>
      <c r="B30">
        <v>22537192</v>
      </c>
      <c r="C30">
        <v>22537323</v>
      </c>
      <c r="D30">
        <v>7233149</v>
      </c>
      <c r="E30">
        <v>1</v>
      </c>
      <c r="F30">
        <v>1</v>
      </c>
      <c r="G30">
        <v>7157832</v>
      </c>
      <c r="H30">
        <v>3</v>
      </c>
      <c r="I30" t="s">
        <v>85</v>
      </c>
      <c r="J30" t="s">
        <v>87</v>
      </c>
      <c r="K30" t="s">
        <v>86</v>
      </c>
      <c r="L30">
        <v>1348</v>
      </c>
      <c r="N30">
        <v>1009</v>
      </c>
      <c r="O30" t="s">
        <v>31</v>
      </c>
      <c r="P30" t="s">
        <v>31</v>
      </c>
      <c r="Q30">
        <v>1000</v>
      </c>
      <c r="Y30">
        <v>0.005</v>
      </c>
      <c r="AA30">
        <v>2278.84</v>
      </c>
      <c r="AB30">
        <v>0</v>
      </c>
      <c r="AC30">
        <v>0</v>
      </c>
      <c r="AD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0.005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ROW(Source!A36)</f>
        <v>36</v>
      </c>
      <c r="B31">
        <v>22537192</v>
      </c>
      <c r="C31">
        <v>22537323</v>
      </c>
      <c r="D31">
        <v>7232177</v>
      </c>
      <c r="E31">
        <v>1</v>
      </c>
      <c r="F31">
        <v>1</v>
      </c>
      <c r="G31">
        <v>7157832</v>
      </c>
      <c r="H31">
        <v>3</v>
      </c>
      <c r="I31" t="s">
        <v>89</v>
      </c>
      <c r="J31" t="s">
        <v>91</v>
      </c>
      <c r="K31" t="s">
        <v>90</v>
      </c>
      <c r="L31">
        <v>1348</v>
      </c>
      <c r="N31">
        <v>1009</v>
      </c>
      <c r="O31" t="s">
        <v>31</v>
      </c>
      <c r="P31" t="s">
        <v>31</v>
      </c>
      <c r="Q31">
        <v>1000</v>
      </c>
      <c r="Y31">
        <v>0.00902</v>
      </c>
      <c r="AA31">
        <v>32008.27</v>
      </c>
      <c r="AB31">
        <v>0</v>
      </c>
      <c r="AC31">
        <v>0</v>
      </c>
      <c r="AD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T31">
        <v>0.00902</v>
      </c>
      <c r="AV31">
        <v>0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22537248</v>
      </c>
      <c r="C1">
        <v>22537233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130</v>
      </c>
      <c r="K1" t="s">
        <v>131</v>
      </c>
      <c r="L1">
        <v>1191</v>
      </c>
      <c r="N1">
        <v>1013</v>
      </c>
      <c r="O1" t="s">
        <v>132</v>
      </c>
      <c r="P1" t="s">
        <v>132</v>
      </c>
      <c r="Q1">
        <v>1</v>
      </c>
      <c r="X1">
        <v>179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19</v>
      </c>
      <c r="AG1">
        <v>205.85</v>
      </c>
      <c r="AH1">
        <v>2</v>
      </c>
      <c r="AI1">
        <v>22537234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22537249</v>
      </c>
      <c r="C2">
        <v>22537233</v>
      </c>
      <c r="D2">
        <v>7159942</v>
      </c>
      <c r="E2">
        <v>7157832</v>
      </c>
      <c r="F2">
        <v>1</v>
      </c>
      <c r="G2">
        <v>7157832</v>
      </c>
      <c r="H2">
        <v>2</v>
      </c>
      <c r="I2" t="s">
        <v>133</v>
      </c>
      <c r="J2" t="s">
        <v>134</v>
      </c>
      <c r="K2" t="s">
        <v>135</v>
      </c>
      <c r="L2">
        <v>1344</v>
      </c>
      <c r="N2">
        <v>1008</v>
      </c>
      <c r="O2" t="s">
        <v>136</v>
      </c>
      <c r="P2" t="s">
        <v>136</v>
      </c>
      <c r="Q2">
        <v>1</v>
      </c>
      <c r="X2">
        <v>87.09</v>
      </c>
      <c r="Y2">
        <v>0</v>
      </c>
      <c r="Z2">
        <v>1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18</v>
      </c>
      <c r="AG2">
        <v>108.86250000000001</v>
      </c>
      <c r="AH2">
        <v>2</v>
      </c>
      <c r="AI2">
        <v>22537235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22537250</v>
      </c>
      <c r="C3">
        <v>22537233</v>
      </c>
      <c r="D3">
        <v>7157848</v>
      </c>
      <c r="E3">
        <v>7157832</v>
      </c>
      <c r="F3">
        <v>1</v>
      </c>
      <c r="G3">
        <v>7157832</v>
      </c>
      <c r="H3">
        <v>3</v>
      </c>
      <c r="I3" t="s">
        <v>151</v>
      </c>
      <c r="K3" t="s">
        <v>25</v>
      </c>
      <c r="L3">
        <v>1339</v>
      </c>
      <c r="N3">
        <v>1007</v>
      </c>
      <c r="O3" t="s">
        <v>26</v>
      </c>
      <c r="P3" t="s">
        <v>26</v>
      </c>
      <c r="Q3">
        <v>1</v>
      </c>
      <c r="X3">
        <v>0.2464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G3">
        <v>0.2464</v>
      </c>
      <c r="AH3">
        <v>3</v>
      </c>
      <c r="AI3">
        <v>-1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22537254</v>
      </c>
      <c r="C4">
        <v>22537233</v>
      </c>
      <c r="D4">
        <v>7182707</v>
      </c>
      <c r="E4">
        <v>7157832</v>
      </c>
      <c r="F4">
        <v>1</v>
      </c>
      <c r="G4">
        <v>7157832</v>
      </c>
      <c r="H4">
        <v>3</v>
      </c>
      <c r="I4" t="s">
        <v>137</v>
      </c>
      <c r="J4" t="s">
        <v>138</v>
      </c>
      <c r="K4" t="s">
        <v>139</v>
      </c>
      <c r="L4">
        <v>1344</v>
      </c>
      <c r="N4">
        <v>1008</v>
      </c>
      <c r="O4" t="s">
        <v>136</v>
      </c>
      <c r="P4" t="s">
        <v>136</v>
      </c>
      <c r="Q4">
        <v>1</v>
      </c>
      <c r="X4">
        <v>0.71</v>
      </c>
      <c r="Y4">
        <v>1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0.71</v>
      </c>
      <c r="AH4">
        <v>2</v>
      </c>
      <c r="AI4">
        <v>22537236</v>
      </c>
      <c r="AJ4">
        <v>3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22537251</v>
      </c>
      <c r="C5">
        <v>22537233</v>
      </c>
      <c r="D5">
        <v>7178557</v>
      </c>
      <c r="E5">
        <v>7157832</v>
      </c>
      <c r="F5">
        <v>1</v>
      </c>
      <c r="G5">
        <v>7157832</v>
      </c>
      <c r="H5">
        <v>3</v>
      </c>
      <c r="I5" t="s">
        <v>152</v>
      </c>
      <c r="K5" t="s">
        <v>153</v>
      </c>
      <c r="L5">
        <v>1348</v>
      </c>
      <c r="N5">
        <v>1009</v>
      </c>
      <c r="O5" t="s">
        <v>31</v>
      </c>
      <c r="P5" t="s">
        <v>31</v>
      </c>
      <c r="Q5">
        <v>1000</v>
      </c>
      <c r="X5">
        <v>1.408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G5">
        <v>1.408</v>
      </c>
      <c r="AH5">
        <v>3</v>
      </c>
      <c r="AI5">
        <v>-1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22537252</v>
      </c>
      <c r="C6">
        <v>22537233</v>
      </c>
      <c r="D6">
        <v>7178745</v>
      </c>
      <c r="E6">
        <v>7157832</v>
      </c>
      <c r="F6">
        <v>1</v>
      </c>
      <c r="G6">
        <v>7157832</v>
      </c>
      <c r="H6">
        <v>3</v>
      </c>
      <c r="I6" t="s">
        <v>154</v>
      </c>
      <c r="K6" t="s">
        <v>155</v>
      </c>
      <c r="L6">
        <v>1339</v>
      </c>
      <c r="N6">
        <v>1007</v>
      </c>
      <c r="O6" t="s">
        <v>26</v>
      </c>
      <c r="P6" t="s">
        <v>26</v>
      </c>
      <c r="Q6">
        <v>1</v>
      </c>
      <c r="X6">
        <v>0.08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G6">
        <v>0.08</v>
      </c>
      <c r="AH6">
        <v>3</v>
      </c>
      <c r="AI6">
        <v>-1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22537253</v>
      </c>
      <c r="C7">
        <v>22537233</v>
      </c>
      <c r="D7">
        <v>7178745</v>
      </c>
      <c r="E7">
        <v>7157832</v>
      </c>
      <c r="F7">
        <v>1</v>
      </c>
      <c r="G7">
        <v>7157832</v>
      </c>
      <c r="H7">
        <v>3</v>
      </c>
      <c r="I7" t="s">
        <v>154</v>
      </c>
      <c r="K7" t="s">
        <v>156</v>
      </c>
      <c r="L7">
        <v>1339</v>
      </c>
      <c r="N7">
        <v>1007</v>
      </c>
      <c r="O7" t="s">
        <v>26</v>
      </c>
      <c r="P7" t="s">
        <v>26</v>
      </c>
      <c r="Q7">
        <v>1</v>
      </c>
      <c r="X7">
        <v>3.44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v>3.44</v>
      </c>
      <c r="AH7">
        <v>3</v>
      </c>
      <c r="AI7">
        <v>-1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22537266</v>
      </c>
      <c r="C8">
        <v>22537259</v>
      </c>
      <c r="D8">
        <v>7157835</v>
      </c>
      <c r="E8">
        <v>7157832</v>
      </c>
      <c r="F8">
        <v>1</v>
      </c>
      <c r="G8">
        <v>7157832</v>
      </c>
      <c r="H8">
        <v>1</v>
      </c>
      <c r="I8" t="s">
        <v>130</v>
      </c>
      <c r="K8" t="s">
        <v>131</v>
      </c>
      <c r="L8">
        <v>1191</v>
      </c>
      <c r="N8">
        <v>1013</v>
      </c>
      <c r="O8" t="s">
        <v>132</v>
      </c>
      <c r="P8" t="s">
        <v>132</v>
      </c>
      <c r="Q8">
        <v>1</v>
      </c>
      <c r="X8">
        <v>0.49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G8">
        <v>0.49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22537267</v>
      </c>
      <c r="C9">
        <v>22537259</v>
      </c>
      <c r="D9">
        <v>7231449</v>
      </c>
      <c r="E9">
        <v>1</v>
      </c>
      <c r="F9">
        <v>1</v>
      </c>
      <c r="G9">
        <v>7157832</v>
      </c>
      <c r="H9">
        <v>2</v>
      </c>
      <c r="I9" t="s">
        <v>140</v>
      </c>
      <c r="J9" t="s">
        <v>157</v>
      </c>
      <c r="K9" t="s">
        <v>142</v>
      </c>
      <c r="L9">
        <v>1368</v>
      </c>
      <c r="N9">
        <v>1011</v>
      </c>
      <c r="O9" t="s">
        <v>143</v>
      </c>
      <c r="P9" t="s">
        <v>143</v>
      </c>
      <c r="Q9">
        <v>1</v>
      </c>
      <c r="X9">
        <v>0.25</v>
      </c>
      <c r="Y9">
        <v>0</v>
      </c>
      <c r="Z9">
        <v>1.59</v>
      </c>
      <c r="AA9">
        <v>0.09</v>
      </c>
      <c r="AB9">
        <v>0</v>
      </c>
      <c r="AC9">
        <v>0</v>
      </c>
      <c r="AD9">
        <v>1</v>
      </c>
      <c r="AE9">
        <v>0</v>
      </c>
      <c r="AF9" t="s">
        <v>46</v>
      </c>
      <c r="AG9">
        <v>0.3</v>
      </c>
      <c r="AH9">
        <v>2</v>
      </c>
      <c r="AI9">
        <v>22537260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22537268</v>
      </c>
      <c r="C10">
        <v>22537259</v>
      </c>
      <c r="D10">
        <v>7231827</v>
      </c>
      <c r="E10">
        <v>1</v>
      </c>
      <c r="F10">
        <v>1</v>
      </c>
      <c r="G10">
        <v>7157832</v>
      </c>
      <c r="H10">
        <v>3</v>
      </c>
      <c r="I10" t="s">
        <v>24</v>
      </c>
      <c r="J10" t="s">
        <v>158</v>
      </c>
      <c r="K10" t="s">
        <v>25</v>
      </c>
      <c r="L10">
        <v>1339</v>
      </c>
      <c r="N10">
        <v>1007</v>
      </c>
      <c r="O10" t="s">
        <v>26</v>
      </c>
      <c r="P10" t="s">
        <v>26</v>
      </c>
      <c r="Q10">
        <v>1</v>
      </c>
      <c r="X10">
        <v>0.0035</v>
      </c>
      <c r="Y10">
        <v>7.07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0.0035</v>
      </c>
      <c r="AH10">
        <v>2</v>
      </c>
      <c r="AI10">
        <v>22537261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22537269</v>
      </c>
      <c r="C11">
        <v>22537259</v>
      </c>
      <c r="D11">
        <v>7235014</v>
      </c>
      <c r="E11">
        <v>1</v>
      </c>
      <c r="F11">
        <v>1</v>
      </c>
      <c r="G11">
        <v>7157832</v>
      </c>
      <c r="H11">
        <v>3</v>
      </c>
      <c r="I11" t="s">
        <v>144</v>
      </c>
      <c r="J11" t="s">
        <v>159</v>
      </c>
      <c r="K11" t="s">
        <v>146</v>
      </c>
      <c r="L11">
        <v>1346</v>
      </c>
      <c r="N11">
        <v>1009</v>
      </c>
      <c r="O11" t="s">
        <v>72</v>
      </c>
      <c r="P11" t="s">
        <v>72</v>
      </c>
      <c r="Q11">
        <v>1</v>
      </c>
      <c r="X11">
        <v>2</v>
      </c>
      <c r="Y11">
        <v>37.74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2</v>
      </c>
      <c r="AH11">
        <v>2</v>
      </c>
      <c r="AI11">
        <v>22537262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ROW(Source!A30)</f>
        <v>30</v>
      </c>
      <c r="B12">
        <v>22537279</v>
      </c>
      <c r="C12">
        <v>22537270</v>
      </c>
      <c r="D12">
        <v>7157835</v>
      </c>
      <c r="E12">
        <v>7157832</v>
      </c>
      <c r="F12">
        <v>1</v>
      </c>
      <c r="G12">
        <v>7157832</v>
      </c>
      <c r="H12">
        <v>1</v>
      </c>
      <c r="I12" t="s">
        <v>130</v>
      </c>
      <c r="K12" t="s">
        <v>131</v>
      </c>
      <c r="L12">
        <v>1191</v>
      </c>
      <c r="N12">
        <v>1013</v>
      </c>
      <c r="O12" t="s">
        <v>132</v>
      </c>
      <c r="P12" t="s">
        <v>132</v>
      </c>
      <c r="Q12">
        <v>1</v>
      </c>
      <c r="X12">
        <v>385.2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1</v>
      </c>
      <c r="AG12">
        <v>385.2</v>
      </c>
      <c r="AH12">
        <v>2</v>
      </c>
      <c r="AI12">
        <v>22537271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ROW(Source!A30)</f>
        <v>30</v>
      </c>
      <c r="B13">
        <v>22537281</v>
      </c>
      <c r="C13">
        <v>22537270</v>
      </c>
      <c r="D13">
        <v>7182702</v>
      </c>
      <c r="E13">
        <v>7157832</v>
      </c>
      <c r="F13">
        <v>1</v>
      </c>
      <c r="G13">
        <v>7157832</v>
      </c>
      <c r="H13">
        <v>3</v>
      </c>
      <c r="I13" t="s">
        <v>137</v>
      </c>
      <c r="J13" t="s">
        <v>147</v>
      </c>
      <c r="K13" t="s">
        <v>148</v>
      </c>
      <c r="L13">
        <v>1348</v>
      </c>
      <c r="N13">
        <v>1009</v>
      </c>
      <c r="O13" t="s">
        <v>31</v>
      </c>
      <c r="P13" t="s">
        <v>31</v>
      </c>
      <c r="Q13">
        <v>1000</v>
      </c>
      <c r="X13">
        <v>8.1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8.1</v>
      </c>
      <c r="AH13">
        <v>2</v>
      </c>
      <c r="AI13">
        <v>22537273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ROW(Source!A30)</f>
        <v>30</v>
      </c>
      <c r="B14">
        <v>22537280</v>
      </c>
      <c r="C14">
        <v>22537270</v>
      </c>
      <c r="D14">
        <v>7178745</v>
      </c>
      <c r="E14">
        <v>7157832</v>
      </c>
      <c r="F14">
        <v>1</v>
      </c>
      <c r="G14">
        <v>7157832</v>
      </c>
      <c r="H14">
        <v>3</v>
      </c>
      <c r="I14" t="s">
        <v>154</v>
      </c>
      <c r="K14" t="s">
        <v>160</v>
      </c>
      <c r="L14">
        <v>1339</v>
      </c>
      <c r="N14">
        <v>1007</v>
      </c>
      <c r="O14" t="s">
        <v>26</v>
      </c>
      <c r="P14" t="s">
        <v>26</v>
      </c>
      <c r="Q14">
        <v>1</v>
      </c>
      <c r="X14">
        <v>4.4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4.4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ROW(Source!A32)</f>
        <v>32</v>
      </c>
      <c r="B15">
        <v>22537296</v>
      </c>
      <c r="C15">
        <v>22537283</v>
      </c>
      <c r="D15">
        <v>7157835</v>
      </c>
      <c r="E15">
        <v>7157832</v>
      </c>
      <c r="F15">
        <v>1</v>
      </c>
      <c r="G15">
        <v>7157832</v>
      </c>
      <c r="H15">
        <v>1</v>
      </c>
      <c r="I15" t="s">
        <v>130</v>
      </c>
      <c r="K15" t="s">
        <v>131</v>
      </c>
      <c r="L15">
        <v>1191</v>
      </c>
      <c r="N15">
        <v>1013</v>
      </c>
      <c r="O15" t="s">
        <v>132</v>
      </c>
      <c r="P15" t="s">
        <v>132</v>
      </c>
      <c r="Q15">
        <v>1</v>
      </c>
      <c r="X15">
        <v>40.5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1</v>
      </c>
      <c r="AF15" t="s">
        <v>19</v>
      </c>
      <c r="AG15">
        <v>46.574999999999996</v>
      </c>
      <c r="AH15">
        <v>2</v>
      </c>
      <c r="AI15">
        <v>22537284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ROW(Source!A32)</f>
        <v>32</v>
      </c>
      <c r="B16">
        <v>22537297</v>
      </c>
      <c r="C16">
        <v>22537283</v>
      </c>
      <c r="D16">
        <v>7159942</v>
      </c>
      <c r="E16">
        <v>7157832</v>
      </c>
      <c r="F16">
        <v>1</v>
      </c>
      <c r="G16">
        <v>7157832</v>
      </c>
      <c r="H16">
        <v>2</v>
      </c>
      <c r="I16" t="s">
        <v>133</v>
      </c>
      <c r="J16" t="s">
        <v>134</v>
      </c>
      <c r="K16" t="s">
        <v>135</v>
      </c>
      <c r="L16">
        <v>1344</v>
      </c>
      <c r="N16">
        <v>1008</v>
      </c>
      <c r="O16" t="s">
        <v>136</v>
      </c>
      <c r="P16" t="s">
        <v>136</v>
      </c>
      <c r="Q16">
        <v>1</v>
      </c>
      <c r="X16">
        <v>0.74</v>
      </c>
      <c r="Y16">
        <v>0</v>
      </c>
      <c r="Z16">
        <v>1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61</v>
      </c>
      <c r="AG16">
        <v>0.925</v>
      </c>
      <c r="AH16">
        <v>2</v>
      </c>
      <c r="AI16">
        <v>22537285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ROW(Source!A32)</f>
        <v>32</v>
      </c>
      <c r="B17">
        <v>22537301</v>
      </c>
      <c r="C17">
        <v>22537283</v>
      </c>
      <c r="D17">
        <v>7182707</v>
      </c>
      <c r="E17">
        <v>7157832</v>
      </c>
      <c r="F17">
        <v>1</v>
      </c>
      <c r="G17">
        <v>7157832</v>
      </c>
      <c r="H17">
        <v>3</v>
      </c>
      <c r="I17" t="s">
        <v>137</v>
      </c>
      <c r="J17" t="s">
        <v>138</v>
      </c>
      <c r="K17" t="s">
        <v>139</v>
      </c>
      <c r="L17">
        <v>1344</v>
      </c>
      <c r="N17">
        <v>1008</v>
      </c>
      <c r="O17" t="s">
        <v>136</v>
      </c>
      <c r="P17" t="s">
        <v>136</v>
      </c>
      <c r="Q17">
        <v>1</v>
      </c>
      <c r="X17">
        <v>1.19</v>
      </c>
      <c r="Y17">
        <v>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1.19</v>
      </c>
      <c r="AH17">
        <v>2</v>
      </c>
      <c r="AI17">
        <v>22537287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ROW(Source!A32)</f>
        <v>32</v>
      </c>
      <c r="B18">
        <v>22537298</v>
      </c>
      <c r="C18">
        <v>22537283</v>
      </c>
      <c r="D18">
        <v>7164016</v>
      </c>
      <c r="E18">
        <v>7157832</v>
      </c>
      <c r="F18">
        <v>1</v>
      </c>
      <c r="G18">
        <v>7157832</v>
      </c>
      <c r="H18">
        <v>3</v>
      </c>
      <c r="I18" t="s">
        <v>149</v>
      </c>
      <c r="K18" t="s">
        <v>150</v>
      </c>
      <c r="L18">
        <v>1348</v>
      </c>
      <c r="N18">
        <v>1009</v>
      </c>
      <c r="O18" t="s">
        <v>31</v>
      </c>
      <c r="P18" t="s">
        <v>31</v>
      </c>
      <c r="Q18">
        <v>1000</v>
      </c>
      <c r="X18">
        <v>0.005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G18">
        <v>0.005</v>
      </c>
      <c r="AH18">
        <v>2</v>
      </c>
      <c r="AI18">
        <v>22537286</v>
      </c>
      <c r="AJ18">
        <v>20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ROW(Source!A32)</f>
        <v>32</v>
      </c>
      <c r="B19">
        <v>22537299</v>
      </c>
      <c r="C19">
        <v>22537283</v>
      </c>
      <c r="D19">
        <v>7164139</v>
      </c>
      <c r="E19">
        <v>7157832</v>
      </c>
      <c r="F19">
        <v>1</v>
      </c>
      <c r="G19">
        <v>7157832</v>
      </c>
      <c r="H19">
        <v>3</v>
      </c>
      <c r="I19" t="s">
        <v>161</v>
      </c>
      <c r="K19" t="s">
        <v>162</v>
      </c>
      <c r="L19">
        <v>1348</v>
      </c>
      <c r="N19">
        <v>1009</v>
      </c>
      <c r="O19" t="s">
        <v>31</v>
      </c>
      <c r="P19" t="s">
        <v>31</v>
      </c>
      <c r="Q19">
        <v>1000</v>
      </c>
      <c r="X19">
        <v>0.0248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0.0248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ROW(Source!A32)</f>
        <v>32</v>
      </c>
      <c r="B20">
        <v>22537300</v>
      </c>
      <c r="C20">
        <v>22537283</v>
      </c>
      <c r="D20">
        <v>7164172</v>
      </c>
      <c r="E20">
        <v>7157832</v>
      </c>
      <c r="F20">
        <v>1</v>
      </c>
      <c r="G20">
        <v>7157832</v>
      </c>
      <c r="H20">
        <v>3</v>
      </c>
      <c r="I20" t="s">
        <v>163</v>
      </c>
      <c r="K20" t="s">
        <v>164</v>
      </c>
      <c r="L20">
        <v>1346</v>
      </c>
      <c r="N20">
        <v>1009</v>
      </c>
      <c r="O20" t="s">
        <v>72</v>
      </c>
      <c r="P20" t="s">
        <v>72</v>
      </c>
      <c r="Q20">
        <v>1</v>
      </c>
      <c r="X20">
        <v>7.8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7.8</v>
      </c>
      <c r="AH20">
        <v>3</v>
      </c>
      <c r="AI20">
        <v>-1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ROW(Source!A35)</f>
        <v>35</v>
      </c>
      <c r="B21">
        <v>22537317</v>
      </c>
      <c r="C21">
        <v>22537304</v>
      </c>
      <c r="D21">
        <v>7157835</v>
      </c>
      <c r="E21">
        <v>7157832</v>
      </c>
      <c r="F21">
        <v>1</v>
      </c>
      <c r="G21">
        <v>7157832</v>
      </c>
      <c r="H21">
        <v>1</v>
      </c>
      <c r="I21" t="s">
        <v>130</v>
      </c>
      <c r="K21" t="s">
        <v>131</v>
      </c>
      <c r="L21">
        <v>1191</v>
      </c>
      <c r="N21">
        <v>1013</v>
      </c>
      <c r="O21" t="s">
        <v>132</v>
      </c>
      <c r="P21" t="s">
        <v>132</v>
      </c>
      <c r="Q21">
        <v>1</v>
      </c>
      <c r="X21">
        <v>79.2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G21">
        <v>79.2</v>
      </c>
      <c r="AH21">
        <v>2</v>
      </c>
      <c r="AI21">
        <v>22537305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ROW(Source!A35)</f>
        <v>35</v>
      </c>
      <c r="B22">
        <v>22537318</v>
      </c>
      <c r="C22">
        <v>22537304</v>
      </c>
      <c r="D22">
        <v>7159942</v>
      </c>
      <c r="E22">
        <v>7157832</v>
      </c>
      <c r="F22">
        <v>1</v>
      </c>
      <c r="G22">
        <v>7157832</v>
      </c>
      <c r="H22">
        <v>2</v>
      </c>
      <c r="I22" t="s">
        <v>133</v>
      </c>
      <c r="J22" t="s">
        <v>134</v>
      </c>
      <c r="K22" t="s">
        <v>135</v>
      </c>
      <c r="L22">
        <v>1344</v>
      </c>
      <c r="N22">
        <v>1008</v>
      </c>
      <c r="O22" t="s">
        <v>136</v>
      </c>
      <c r="P22" t="s">
        <v>136</v>
      </c>
      <c r="Q22">
        <v>1</v>
      </c>
      <c r="X22">
        <v>0.01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46</v>
      </c>
      <c r="AG22">
        <v>0.012</v>
      </c>
      <c r="AH22">
        <v>2</v>
      </c>
      <c r="AI22">
        <v>22537306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ROW(Source!A35)</f>
        <v>35</v>
      </c>
      <c r="B23">
        <v>22537322</v>
      </c>
      <c r="C23">
        <v>22537304</v>
      </c>
      <c r="D23">
        <v>7182707</v>
      </c>
      <c r="E23">
        <v>7157832</v>
      </c>
      <c r="F23">
        <v>1</v>
      </c>
      <c r="G23">
        <v>7157832</v>
      </c>
      <c r="H23">
        <v>3</v>
      </c>
      <c r="I23" t="s">
        <v>137</v>
      </c>
      <c r="J23" t="s">
        <v>138</v>
      </c>
      <c r="K23" t="s">
        <v>139</v>
      </c>
      <c r="L23">
        <v>1344</v>
      </c>
      <c r="N23">
        <v>1008</v>
      </c>
      <c r="O23" t="s">
        <v>136</v>
      </c>
      <c r="P23" t="s">
        <v>136</v>
      </c>
      <c r="Q23">
        <v>1</v>
      </c>
      <c r="X23">
        <v>3.22</v>
      </c>
      <c r="Y23">
        <v>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3.22</v>
      </c>
      <c r="AH23">
        <v>2</v>
      </c>
      <c r="AI23">
        <v>22537310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ROW(Source!A35)</f>
        <v>35</v>
      </c>
      <c r="B24">
        <v>22537319</v>
      </c>
      <c r="C24">
        <v>22537304</v>
      </c>
      <c r="D24">
        <v>7233149</v>
      </c>
      <c r="E24">
        <v>1</v>
      </c>
      <c r="F24">
        <v>1</v>
      </c>
      <c r="G24">
        <v>7157832</v>
      </c>
      <c r="H24">
        <v>3</v>
      </c>
      <c r="I24" t="s">
        <v>85</v>
      </c>
      <c r="J24" t="s">
        <v>165</v>
      </c>
      <c r="K24" t="s">
        <v>86</v>
      </c>
      <c r="L24">
        <v>1348</v>
      </c>
      <c r="N24">
        <v>1009</v>
      </c>
      <c r="O24" t="s">
        <v>31</v>
      </c>
      <c r="P24" t="s">
        <v>31</v>
      </c>
      <c r="Q24">
        <v>1000</v>
      </c>
      <c r="X24">
        <v>0.0027</v>
      </c>
      <c r="Y24">
        <v>2278.84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0.0027</v>
      </c>
      <c r="AH24">
        <v>2</v>
      </c>
      <c r="AI24">
        <v>22537307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ROW(Source!A35)</f>
        <v>35</v>
      </c>
      <c r="B25">
        <v>22537320</v>
      </c>
      <c r="C25">
        <v>22537304</v>
      </c>
      <c r="D25">
        <v>7232177</v>
      </c>
      <c r="E25">
        <v>1</v>
      </c>
      <c r="F25">
        <v>1</v>
      </c>
      <c r="G25">
        <v>7157832</v>
      </c>
      <c r="H25">
        <v>3</v>
      </c>
      <c r="I25" t="s">
        <v>89</v>
      </c>
      <c r="J25" t="s">
        <v>166</v>
      </c>
      <c r="K25" t="s">
        <v>90</v>
      </c>
      <c r="L25">
        <v>1348</v>
      </c>
      <c r="N25">
        <v>1009</v>
      </c>
      <c r="O25" t="s">
        <v>31</v>
      </c>
      <c r="P25" t="s">
        <v>31</v>
      </c>
      <c r="Q25">
        <v>1000</v>
      </c>
      <c r="X25">
        <v>0.0201</v>
      </c>
      <c r="Y25">
        <v>32008.27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0.0201</v>
      </c>
      <c r="AH25">
        <v>2</v>
      </c>
      <c r="AI25">
        <v>22537308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ROW(Source!A35)</f>
        <v>35</v>
      </c>
      <c r="B26">
        <v>22537321</v>
      </c>
      <c r="C26">
        <v>22537304</v>
      </c>
      <c r="D26">
        <v>7164176</v>
      </c>
      <c r="E26">
        <v>7157832</v>
      </c>
      <c r="F26">
        <v>1</v>
      </c>
      <c r="G26">
        <v>7157832</v>
      </c>
      <c r="H26">
        <v>3</v>
      </c>
      <c r="I26" t="s">
        <v>70</v>
      </c>
      <c r="J26" t="s">
        <v>167</v>
      </c>
      <c r="K26" t="s">
        <v>71</v>
      </c>
      <c r="L26">
        <v>1348</v>
      </c>
      <c r="N26">
        <v>1009</v>
      </c>
      <c r="O26" t="s">
        <v>31</v>
      </c>
      <c r="P26" t="s">
        <v>31</v>
      </c>
      <c r="Q26">
        <v>1000</v>
      </c>
      <c r="X26">
        <v>0.0009</v>
      </c>
      <c r="Y26">
        <v>20190.0005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0.0009</v>
      </c>
      <c r="AH26">
        <v>2</v>
      </c>
      <c r="AI26">
        <v>22537309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ROW(Source!A36)</f>
        <v>36</v>
      </c>
      <c r="B27">
        <v>22537334</v>
      </c>
      <c r="C27">
        <v>22537323</v>
      </c>
      <c r="D27">
        <v>7157835</v>
      </c>
      <c r="E27">
        <v>7157832</v>
      </c>
      <c r="F27">
        <v>1</v>
      </c>
      <c r="G27">
        <v>7157832</v>
      </c>
      <c r="H27">
        <v>1</v>
      </c>
      <c r="I27" t="s">
        <v>130</v>
      </c>
      <c r="K27" t="s">
        <v>131</v>
      </c>
      <c r="L27">
        <v>1191</v>
      </c>
      <c r="N27">
        <v>1013</v>
      </c>
      <c r="O27" t="s">
        <v>132</v>
      </c>
      <c r="P27" t="s">
        <v>132</v>
      </c>
      <c r="Q27">
        <v>1</v>
      </c>
      <c r="X27">
        <v>36.1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19</v>
      </c>
      <c r="AG27">
        <v>41.515</v>
      </c>
      <c r="AH27">
        <v>2</v>
      </c>
      <c r="AI27">
        <v>22537324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ROW(Source!A36)</f>
        <v>36</v>
      </c>
      <c r="B28">
        <v>22537335</v>
      </c>
      <c r="C28">
        <v>22537323</v>
      </c>
      <c r="D28">
        <v>7159942</v>
      </c>
      <c r="E28">
        <v>7157832</v>
      </c>
      <c r="F28">
        <v>1</v>
      </c>
      <c r="G28">
        <v>7157832</v>
      </c>
      <c r="H28">
        <v>2</v>
      </c>
      <c r="I28" t="s">
        <v>133</v>
      </c>
      <c r="J28" t="s">
        <v>134</v>
      </c>
      <c r="K28" t="s">
        <v>135</v>
      </c>
      <c r="L28">
        <v>1344</v>
      </c>
      <c r="N28">
        <v>1008</v>
      </c>
      <c r="O28" t="s">
        <v>136</v>
      </c>
      <c r="P28" t="s">
        <v>136</v>
      </c>
      <c r="Q28">
        <v>1</v>
      </c>
      <c r="X28">
        <v>0.74</v>
      </c>
      <c r="Y28">
        <v>0</v>
      </c>
      <c r="Z28">
        <v>1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18</v>
      </c>
      <c r="AG28">
        <v>0.925</v>
      </c>
      <c r="AH28">
        <v>2</v>
      </c>
      <c r="AI28">
        <v>22537325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ROW(Source!A36)</f>
        <v>36</v>
      </c>
      <c r="B29">
        <v>22537338</v>
      </c>
      <c r="C29">
        <v>22537323</v>
      </c>
      <c r="D29">
        <v>7182707</v>
      </c>
      <c r="E29">
        <v>7157832</v>
      </c>
      <c r="F29">
        <v>1</v>
      </c>
      <c r="G29">
        <v>7157832</v>
      </c>
      <c r="H29">
        <v>3</v>
      </c>
      <c r="I29" t="s">
        <v>137</v>
      </c>
      <c r="J29" t="s">
        <v>138</v>
      </c>
      <c r="K29" t="s">
        <v>139</v>
      </c>
      <c r="L29">
        <v>1344</v>
      </c>
      <c r="N29">
        <v>1008</v>
      </c>
      <c r="O29" t="s">
        <v>136</v>
      </c>
      <c r="P29" t="s">
        <v>136</v>
      </c>
      <c r="Q29">
        <v>1</v>
      </c>
      <c r="X29">
        <v>1.75</v>
      </c>
      <c r="Y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1.75</v>
      </c>
      <c r="AH29">
        <v>2</v>
      </c>
      <c r="AI29">
        <v>22537326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ROW(Source!A36)</f>
        <v>36</v>
      </c>
      <c r="B30">
        <v>22537336</v>
      </c>
      <c r="C30">
        <v>22537323</v>
      </c>
      <c r="D30">
        <v>7164016</v>
      </c>
      <c r="E30">
        <v>7157832</v>
      </c>
      <c r="F30">
        <v>1</v>
      </c>
      <c r="G30">
        <v>7157832</v>
      </c>
      <c r="H30">
        <v>3</v>
      </c>
      <c r="I30" t="s">
        <v>149</v>
      </c>
      <c r="K30" t="s">
        <v>150</v>
      </c>
      <c r="L30">
        <v>1348</v>
      </c>
      <c r="N30">
        <v>1009</v>
      </c>
      <c r="O30" t="s">
        <v>31</v>
      </c>
      <c r="P30" t="s">
        <v>31</v>
      </c>
      <c r="Q30">
        <v>1000</v>
      </c>
      <c r="X30">
        <v>0.005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G30">
        <v>0.005</v>
      </c>
      <c r="AH30">
        <v>3</v>
      </c>
      <c r="AI30">
        <v>-1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ROW(Source!A36)</f>
        <v>36</v>
      </c>
      <c r="B31">
        <v>22537337</v>
      </c>
      <c r="C31">
        <v>22537323</v>
      </c>
      <c r="D31">
        <v>7164139</v>
      </c>
      <c r="E31">
        <v>7157832</v>
      </c>
      <c r="F31">
        <v>1</v>
      </c>
      <c r="G31">
        <v>7157832</v>
      </c>
      <c r="H31">
        <v>3</v>
      </c>
      <c r="I31" t="s">
        <v>161</v>
      </c>
      <c r="K31" t="s">
        <v>162</v>
      </c>
      <c r="L31">
        <v>1348</v>
      </c>
      <c r="N31">
        <v>1009</v>
      </c>
      <c r="O31" t="s">
        <v>31</v>
      </c>
      <c r="P31" t="s">
        <v>31</v>
      </c>
      <c r="Q31">
        <v>1000</v>
      </c>
      <c r="X31">
        <v>0.00902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G31">
        <v>0.00902</v>
      </c>
      <c r="AH31">
        <v>3</v>
      </c>
      <c r="AI31">
        <v>-1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Варламовы</cp:lastModifiedBy>
  <dcterms:modified xsi:type="dcterms:W3CDTF">2013-08-05T07:40:06Z</dcterms:modified>
  <cp:category/>
  <cp:version/>
  <cp:contentType/>
  <cp:contentStatus/>
</cp:coreProperties>
</file>