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" windowHeight="1080" activeTab="0"/>
  </bookViews>
  <sheets>
    <sheet name="Смета по ТСН-2001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по ТСН-2001'!$23:$23</definedName>
    <definedName name="_xlnm.Print_Area" localSheetId="0">'Смета по ТСН-2001'!$A$1:$K$126</definedName>
  </definedNames>
  <calcPr fullCalcOnLoad="1"/>
</workbook>
</file>

<file path=xl/sharedStrings.xml><?xml version="1.0" encoding="utf-8"?>
<sst xmlns="http://schemas.openxmlformats.org/spreadsheetml/2006/main" count="1631" uniqueCount="248">
  <si>
    <t>Smeta.RU  (495) 974-1589</t>
  </si>
  <si>
    <t>_PS_</t>
  </si>
  <si>
    <t>Smeta.RU</t>
  </si>
  <si>
    <t/>
  </si>
  <si>
    <t>ДОМ №7 (ТСН-2001. ТЕРРИТОРИАЛЬНЫЕ СМЕТНЫЕ НОРМАТИВЫ ДЛЯ МОСК</t>
  </si>
  <si>
    <t>ДОМ №7 Смета на ремонт кровли (сталь оцинкованная)</t>
  </si>
  <si>
    <t>Сметные нормы списания</t>
  </si>
  <si>
    <t>Коды ОКП для ТСН-2001</t>
  </si>
  <si>
    <t>ТСН 2001- Новое строительство</t>
  </si>
  <si>
    <t>Типовой расчет для ТСН-2001 (Строительство) [ДОМ №7 Смета на ремонт кровли (сталь оцинкованная)]</t>
  </si>
  <si>
    <t>ТСН-2001</t>
  </si>
  <si>
    <t>Поправки для ТСН-2001</t>
  </si>
  <si>
    <t>КРОВЕЛЬНЫЕ РАБОТЫ</t>
  </si>
  <si>
    <t>1</t>
  </si>
  <si>
    <t>3.12-7-8</t>
  </si>
  <si>
    <t>УСТРОЙСТВО КРОВЛИ - ПАРАПЕТЫ С ПОКРЫТИЕМ МЕДЬЮ ПРИ ТОЛЩИНЕ ЛИСТА 0,8 ММ</t>
  </si>
  <si>
    <t>100 м2</t>
  </si>
  <si>
    <t>ТСН-2001.3. База. Сб.12, т.7, поз.8</t>
  </si>
  <si>
    <t>)*1.15)*1.25</t>
  </si>
  <si>
    <t>)*1.15)*1.15</t>
  </si>
  <si>
    <t>)*1.15</t>
  </si>
  <si>
    <t>Строительные работы</t>
  </si>
  <si>
    <t>ТСН-2001.3-12. 12-1...12-29</t>
  </si>
  <si>
    <t>ТСН-2001.3-12-1</t>
  </si>
  <si>
    <t>1,1</t>
  </si>
  <si>
    <t>1.1-1-1079</t>
  </si>
  <si>
    <t>СТАЛЬ КРОВЕЛЬНАЯ ЛИСТОВАЯ, ТОЛЩИНА 0,5 ММ, ВЕС ЛИСТА РАЗМЕРОМ 710Х1420 ММ 4 КГ, ОЦИНКОВАННАЯ</t>
  </si>
  <si>
    <t>т</t>
  </si>
  <si>
    <t>ТСН-2001.1. База. Р.1, о.1, поз.1079</t>
  </si>
  <si>
    <t>2</t>
  </si>
  <si>
    <t>3.12-16-1</t>
  </si>
  <si>
    <t>ОГРАЖДЕНИЕ КРОВЕЛЬ ПЕРИЛАМИ</t>
  </si>
  <si>
    <t>100 м</t>
  </si>
  <si>
    <t>ТСН-2001.3. База. Сб.12, т.16, поз.1</t>
  </si>
  <si>
    <t>2,1</t>
  </si>
  <si>
    <t>1.6-1-218</t>
  </si>
  <si>
    <t>ОГРАЖДЕНИЯ ИЗ ПРОКАТНЫХ И ГНУТЫХ ПРОФИЛЕЙ ПОЛОСОВОЙ И КРУГЛОЙ СТАЛИ</t>
  </si>
  <si>
    <t>ТСН-2001.1. База. Р.6, о.1, поз.218</t>
  </si>
  <si>
    <t>3</t>
  </si>
  <si>
    <t>6.58-4-2</t>
  </si>
  <si>
    <t>РАЗБОРКА ВОДОСТОЧНЫХ ТРУБ ИЗ ЛИСТОВОЙ СТАЛИ С ЗЕМЛИ И ПОДМОСТЕЙ</t>
  </si>
  <si>
    <t>ТСН-2001.6. База. Сб.58, т.4, поз.2</t>
  </si>
  <si>
    <t>Ремонтно-строительные работы</t>
  </si>
  <si>
    <t>ТСН-2001.6-58. 58-1...58-5</t>
  </si>
  <si>
    <t>ТСН-2001.6-58-1</t>
  </si>
  <si>
    <t>4</t>
  </si>
  <si>
    <t>6.58-19-1</t>
  </si>
  <si>
    <t>НАВЕСКА ВОДОСТОЧНЫХ ТРУБ С ПОДМОСТЕЙ</t>
  </si>
  <si>
    <t>ТСН-2001.6. База. Сб.58, т.19, поз.1</t>
  </si>
  <si>
    <t>ТСН-2001.6-58. 58-6...58-33</t>
  </si>
  <si>
    <t>ТСН-2001.6-58-2</t>
  </si>
  <si>
    <t>4,1</t>
  </si>
  <si>
    <t>1.1-1-1086</t>
  </si>
  <si>
    <t>СТАЛЬ ЛИСТОВАЯ, ОЦИНКОВАННАЯ, ТОЛЩИНА 0,55-0,65 ММ</t>
  </si>
  <si>
    <t>ТСН-2001.1. База. Р.1, о.1, поз.1086</t>
  </si>
  <si>
    <t>5</t>
  </si>
  <si>
    <t>6.58-27-5</t>
  </si>
  <si>
    <t>СМЕНА ВОРОНОК И ОТЛИВОВ ВОДОСТОЧНЫХ ТРУБ С ЛЕСТНИЦ ИЛИ ПОДМОСТЕЙ</t>
  </si>
  <si>
    <t>10 шт.</t>
  </si>
  <si>
    <t>ТСН-2001.6. База. Сб.58, т.27, поз.5</t>
  </si>
  <si>
    <t>5,1</t>
  </si>
  <si>
    <t>6</t>
  </si>
  <si>
    <t>6.58-27-4</t>
  </si>
  <si>
    <t>СМЕНА КОЛЕН ВОДОСТОЧНЫХ ТРУБ С ЛЕСТНИЦ ИЛИ ПОДМОСТЕЙ</t>
  </si>
  <si>
    <t>ТСН-2001.6. База. Сб.58, т.27, поз.4</t>
  </si>
  <si>
    <t>6,1</t>
  </si>
  <si>
    <t>7</t>
  </si>
  <si>
    <t>7,1</t>
  </si>
  <si>
    <t>8</t>
  </si>
  <si>
    <t>6.58-27-6</t>
  </si>
  <si>
    <t>СМЕНА УХВАТОВ ВОДОСТОЧНЫХ ТРУБ С ЛЕСТНИЦ ИЛИ ПОДМОСТЕЙ В КАМЕННЫХ ЗДАНИЯХ</t>
  </si>
  <si>
    <t>ТСН-2001.6. База. Сб.58, т.27, поз.6</t>
  </si>
  <si>
    <t>9</t>
  </si>
  <si>
    <t>3.10-47-1</t>
  </si>
  <si>
    <t>ОГНЕЗАЩИТА ОБРЕШЕТКИ ПОД КРОВЛЮ, ПОКРЫТИЯ И НАСТИЛЫ ПО ФЕРМАМ</t>
  </si>
  <si>
    <t>1000 м2</t>
  </si>
  <si>
    <t>ТСН-2001.3. База. Сб.10, т.47, поз.1</t>
  </si>
  <si>
    <t>ТСН-2001.3-10. 10-1...10-69</t>
  </si>
  <si>
    <t>ТСН-2001.3-10-1</t>
  </si>
  <si>
    <t>9,1</t>
  </si>
  <si>
    <t>1.1-1-349</t>
  </si>
  <si>
    <t>КЕРОСИНОВЫЙ КОНТАКТ</t>
  </si>
  <si>
    <t>ТСН-2001.1. База. Р.1, о.1, поз.349</t>
  </si>
  <si>
    <t>9,2</t>
  </si>
  <si>
    <t>1.1-1-9</t>
  </si>
  <si>
    <t>АММОНИЙ СЕРНОКИСЛЫЙ ОЧИЩЕННЫЙ</t>
  </si>
  <si>
    <t>ТСН-2001.1. База. Р.1, о.1, поз.9</t>
  </si>
  <si>
    <t>9,3</t>
  </si>
  <si>
    <t>1.1-1-10</t>
  </si>
  <si>
    <t>АММОНИЙ ФОСФОРНОКИСЛЫЙ (ДИАММОНИЙ ФОСФАТ)</t>
  </si>
  <si>
    <t>ТСН-2001.1. База. Р.1, о.1, поз.10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</si>
  <si>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</si>
  <si>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</si>
  <si>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</si>
  <si>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</si>
  <si>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</si>
  <si>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</si>
  <si>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</si>
  <si>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</si>
  <si>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ОборудЗак</t>
  </si>
  <si>
    <t>Стоимость оборудования заказчика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</si>
  <si>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</si>
  <si>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</si>
  <si>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</si>
  <si>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</si>
  <si>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</si>
  <si>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</si>
  <si>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</si>
  <si>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</si>
  <si>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</si>
  <si>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</si>
  <si>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</si>
  <si>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</si>
  <si>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</si>
  <si>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</si>
  <si>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</si>
  <si>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</si>
  <si>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</si>
  <si>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</si>
  <si>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</si>
  <si>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</si>
  <si>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</si>
  <si>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</si>
  <si>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</si>
  <si>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</si>
  <si>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</si>
  <si>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</si>
  <si>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 по смете</t>
  </si>
  <si>
    <t>ИТОГО ПО СМЕТЕ</t>
  </si>
  <si>
    <t>ндс</t>
  </si>
  <si>
    <t>НДС - 20%</t>
  </si>
  <si>
    <t>вс</t>
  </si>
  <si>
    <t>ВСЕГО ПО СМЕТЕ</t>
  </si>
  <si>
    <t>Уровень цен</t>
  </si>
  <si>
    <t>_OBSM_</t>
  </si>
  <si>
    <t>9999990008</t>
  </si>
  <si>
    <t>ТРУДОЗАТРАТЫ РАБОЧИХ (ЭСН)</t>
  </si>
  <si>
    <t>чел.-ч.</t>
  </si>
  <si>
    <t>2.0-0-0</t>
  </si>
  <si>
    <t>9999990007</t>
  </si>
  <si>
    <t>СТОИМОСТЬ ПРОЧИХ МАШИН (ЭСН)</t>
  </si>
  <si>
    <t>руб.</t>
  </si>
  <si>
    <t>1.0-0-0</t>
  </si>
  <si>
    <t>9999990006</t>
  </si>
  <si>
    <t>СТОИМОСТЬ ПРОЧИХ МАТЕРИАЛОВ (ЭСН)</t>
  </si>
  <si>
    <t>1.1-1-129</t>
  </si>
  <si>
    <t>ТСН-2001.1. База. Р.1, о.1, поз.129</t>
  </si>
  <si>
    <t>ГВОЗДИ КРОВЕЛЬНЫЕ, ОЦИНКОВАННЫЕ, ОМЕДНЕННЫЕ</t>
  </si>
  <si>
    <t>1844100000</t>
  </si>
  <si>
    <t>МЕДЬ ЛИСТОВАЯ ТОЛЩИНОЙ 0,8 ММ</t>
  </si>
  <si>
    <t>МЕДЬ ЛИСТОВАЯ ТОЛЩИНОЙ 4 ММ</t>
  </si>
  <si>
    <t>2.1-13-14</t>
  </si>
  <si>
    <t>ТСН-2001.2. База. п.1-13-14 (136001)</t>
  </si>
  <si>
    <t>УСТАНОВКИ ДЛЯ СВАРКИ РУЧНОЙ ДУГОВОЙ (ПОСТОЯННОГО ТОКА)</t>
  </si>
  <si>
    <t>маш.-ч</t>
  </si>
  <si>
    <t>2.1-18-7</t>
  </si>
  <si>
    <t>ТСН-2001.2. База. п.1-18-7 (183001)</t>
  </si>
  <si>
    <t>АВТОМОБИЛИ ГРУЗОВЫЕ БОРТОВЫЕ, ГРУЗОПОДЪЕМНОСТЬ ДО 5 Т</t>
  </si>
  <si>
    <t>2.1-3-3</t>
  </si>
  <si>
    <t>ТСН-2001.2. База. п.1-3-3 (030104)</t>
  </si>
  <si>
    <t>КРАНЫ БАШЕННЫЕ, ГРУЗОПОДЪЕМНОСТЬ 6-10 Т, ГРУЗОВОЙ МОМЕНТ ДО 180 Т.М.</t>
  </si>
  <si>
    <t>2.1-3-35</t>
  </si>
  <si>
    <t>ТСН-2001.2. База. п.1-3-35 (032006)</t>
  </si>
  <si>
    <t>КРАНЫ НА АВТОМОБИЛЬНОМ ХОДУ, ГРУЗОПОДЪЕМНОСТЬ ДО 10 Т</t>
  </si>
  <si>
    <t>1.1-1-1003</t>
  </si>
  <si>
    <t>ТСН-2001.1. База. Р.1, о.1, поз.1003</t>
  </si>
  <si>
    <t>РЕЗИНА ТЕХНИЧЕСКАЯ ПРЕССОВАННАЯ</t>
  </si>
  <si>
    <t>1.1-1-1566</t>
  </si>
  <si>
    <t>ТСН-2001.1. База. Р.1, о.1, поз.1566</t>
  </si>
  <si>
    <t>ЭЛЕКТРОДЫ, МАРКА Э-42, 46, 50, ДИАМЕТР 4 - 6 ММ</t>
  </si>
  <si>
    <t>9999990001</t>
  </si>
  <si>
    <t>МАССА МУСОРА</t>
  </si>
  <si>
    <t>1.1-1-923</t>
  </si>
  <si>
    <t>ТСН-2001.1. База. Р.1, о.1, поз.923</t>
  </si>
  <si>
    <t>ПОКОВКИ СТРОИТЕЛЬНЫЕ (СКОБЫ, ЗАКРЕПЫ, ХОМУТЫ) ПРОСТЫЕ, МАССА 1,8 КГ</t>
  </si>
  <si>
    <t>5263930000</t>
  </si>
  <si>
    <t>ДЕТАЛИ УСТРОЙСТВА ВОДОСТОКОВ ПО ФАСАДАМ ЗДАНИЙ ИЗ ОЦИНКОВАННОЙ КРОВЕЛЬНОЙ СТАЛИ</t>
  </si>
  <si>
    <t>1.1-1-57</t>
  </si>
  <si>
    <t>ТСН-2001.1. База. Р.1, о.1, поз.57</t>
  </si>
  <si>
    <t>БОЛТЫ СТРОИТЕЛЬНЫЕ ЧЕРНЫЕ С ГАЙКАМИ И ШАЙБАМИ (10Х100ММ)</t>
  </si>
  <si>
    <t>ДЕТАЛИ УСТРОЙСТВА ВОДОСТОКОВ ПО ФАСАДАМ ЗДАНИЙ ИЗ ОЦИНКОВАННОЙ КРОВЕЛЬНОЙ СТАЛИ, ВОРОНКИ И ОТЛИВЫ</t>
  </si>
  <si>
    <t>шт.</t>
  </si>
  <si>
    <t>ДЕТАЛИ УСТРОЙСТВА ВОДОСТОКОВ ПО ФАСАДАМ ЗДАНИЙ ИЗ ОЦИНКОВАННОЙ КРОВЕЛЬНОЙ СТАЛИ, КОЛЕНА</t>
  </si>
  <si>
    <t>2.1-14-7</t>
  </si>
  <si>
    <t>ТСН-2001.2. База. п.1-14-7 (146003)</t>
  </si>
  <si>
    <t>УСТАНОВКИ ДЛЯ НАНЕСЕНИЯ ЖИДКОЙ ШПАКЛЕВКИ, ПРОИЗВОДИТЕЛЬНОСТЬ 400-800 М2/Ч</t>
  </si>
  <si>
    <t>1271310002</t>
  </si>
  <si>
    <t>МЕДЬ ЛИСТОВАЯ, ТОЛЩИНА 0,8 ММ</t>
  </si>
  <si>
    <t>МЕДЬ ЛИСТОВАЯ, ТОЛЩИНА 4 ММ</t>
  </si>
  <si>
    <t>136001</t>
  </si>
  <si>
    <t>183001</t>
  </si>
  <si>
    <t>032006</t>
  </si>
  <si>
    <t>2512940001</t>
  </si>
  <si>
    <t>1272000002</t>
  </si>
  <si>
    <t>5262420000</t>
  </si>
  <si>
    <t>РЕШЕТКИ МЕТАЛЛИЧЕСКИЕ ДЛЯ ОГРАЖДЕНИЙ КРОВЛИ</t>
  </si>
  <si>
    <t>0893110001</t>
  </si>
  <si>
    <t>1297020004</t>
  </si>
  <si>
    <t>146003</t>
  </si>
  <si>
    <t>0251290000</t>
  </si>
  <si>
    <t>КОНТАКТ КЕРОСИНОВЫЙ</t>
  </si>
  <si>
    <t>2141160000</t>
  </si>
  <si>
    <t>СУЛЬФАТ АММОНИЯ НАСЫПЬЮ, СОРТ ВЫСШИЙ</t>
  </si>
  <si>
    <t>2148150000</t>
  </si>
  <si>
    <t>АММОНИЙ ФОСФОРНОКИСЛЫЙ ДВУЗАМЕЩЕННЫЙ (ДИАМОНИЙ ФОСФАТ): МАРКА Б</t>
  </si>
  <si>
    <t>(Наименование стройки)</t>
  </si>
  <si>
    <t>(локальный сметный расчет)</t>
  </si>
  <si>
    <t xml:space="preserve">  на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</si>
  <si>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</si>
  <si>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</si>
  <si>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</si>
  <si>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</si>
  <si>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тыс.руб</t>
  </si>
  <si>
    <t>Монтажные работы</t>
  </si>
  <si>
    <t>Оборудование</t>
  </si>
  <si>
    <t>Прочие работы</t>
  </si>
  <si>
    <t>Средства на оплату труда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</si>
  <si>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</si>
  <si>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</si>
  <si>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</si>
  <si>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</si>
  <si>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</si>
  <si>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</si>
  <si>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</si>
  <si>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</si>
  <si>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</si>
  <si>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</si>
  <si>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</si>
  <si>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>Форма № 1б</t>
  </si>
  <si>
    <t xml:space="preserve"> </t>
  </si>
  <si>
    <t>ЛОКАЛЬНАЯ СМЕТА № КРОВЕЛЬНЫЕ РАБОТЫ</t>
  </si>
  <si>
    <t xml:space="preserve">Основание: чертежи № </t>
  </si>
  <si>
    <t xml:space="preserve">Составлен(а) в уровне текущих (прогнозных) цен Январь 2000 года 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</si>
  <si>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</si>
  <si>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</si>
  <si>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</si>
  <si>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</si>
  <si>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</si>
  <si>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</si>
  <si>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</si>
  <si>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</si>
  <si>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</si>
  <si>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</si>
  <si>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>Итого по локальной смете: КРОВЕЛЬНЫЕ РАБОТЫ</t>
  </si>
  <si>
    <t>Итого по смете: ДОМ №7 Смета на ремонт кровли (сталь оцинкованная)</t>
  </si>
  <si>
    <t xml:space="preserve">Составил   </t>
  </si>
  <si>
    <t>[должность,подпись(инициалы,фамилия)]</t>
  </si>
  <si>
    <t xml:space="preserve">Проверил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</si>
</sst>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  <numFmt numFmtId="174" formatCode="#,##0.00####;[Red]\-\ #,##0.00####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172" fontId="27" fillId="0" borderId="0" xfId="0" applyNumberFormat="1" applyFont="1" applyAlignment="1">
      <alignment/>
    </xf>
    <xf numFmtId="173" fontId="27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right"/>
    </xf>
    <xf numFmtId="0" fontId="30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174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27" fillId="0" borderId="0" xfId="0" applyNumberFormat="1" applyFont="1" applyAlignment="1">
      <alignment horizontal="right"/>
    </xf>
    <xf numFmtId="172" fontId="31" fillId="0" borderId="0" xfId="0" applyNumberFormat="1" applyFont="1" applyAlignment="1">
      <alignment horizontal="right"/>
    </xf>
    <xf numFmtId="0" fontId="27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right" wrapText="1"/>
    </xf>
    <xf numFmtId="0" fontId="27" fillId="0" borderId="10" xfId="0" applyFont="1" applyBorder="1" applyAlignment="1">
      <alignment horizontal="right"/>
    </xf>
    <xf numFmtId="174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 wrapText="1"/>
    </xf>
    <xf numFmtId="172" fontId="27" fillId="0" borderId="10" xfId="0" applyNumberFormat="1" applyFont="1" applyBorder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27" fillId="0" borderId="0" xfId="0" applyFont="1" applyAlignment="1">
      <alignment horizontal="right" vertical="center"/>
    </xf>
    <xf numFmtId="0" fontId="27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tabSelected="1" zoomScale="112" zoomScaleNormal="112" zoomScalePageLayoutView="0" workbookViewId="0" topLeftCell="A1">
      <selection activeCell="F1" sqref="F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26.7109375" style="0" customWidth="1"/>
    <col min="4" max="7" width="11.7109375" style="0" customWidth="1"/>
    <col min="8" max="8" width="10.7109375" style="0" customWidth="1"/>
    <col min="9" max="11" width="12.7109375" style="0" customWidth="1"/>
    <col min="15" max="27" width="0" style="0" hidden="1" customWidth="1"/>
    <col min="28" max="28" width="86.7109375" style="0" hidden="1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5" t="s">
        <v>228</v>
      </c>
    </row>
    <row r="2" spans="1:28" ht="18.75">
      <c r="A2" s="7" t="str">
        <f>IF(Source!G4&lt;&gt;"",Source!G4,IF(Source!F4&lt;&gt;"",Source!F4,IF(Source!G5&lt;&gt;"",Source!G5,IF(Source!F5&lt;&gt;"",Source!F5,IF(Source!G6&lt;&gt;"",Source!G6,IF(Source!F6&lt;&gt;"",Source!F6," "))))))</f>
        <v> </v>
      </c>
      <c r="B2" s="7"/>
      <c r="C2" s="7"/>
      <c r="D2" s="7"/>
      <c r="E2" s="7"/>
      <c r="F2" s="7"/>
      <c r="G2" s="7"/>
      <c r="H2" s="7"/>
      <c r="I2" s="7"/>
      <c r="J2" s="7"/>
      <c r="K2" s="7"/>
      <c r="AB2" s="22" t="s">
        <v>229</v>
      </c>
    </row>
    <row r="3" spans="1:11" ht="12.75">
      <c r="A3" s="8" t="s">
        <v>205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8" ht="18.75">
      <c r="A5" s="10" t="str">
        <f>CONCATENATE("ЛОКАЛЬНАЯ СМЕТА № ",Source!F20)</f>
        <v>ЛОКАЛЬНАЯ СМЕТА № КРОВЕЛЬНЫЕ РАБОТЫ</v>
      </c>
      <c r="B5" s="11"/>
      <c r="C5" s="11"/>
      <c r="D5" s="11"/>
      <c r="E5" s="11"/>
      <c r="F5" s="11"/>
      <c r="G5" s="11"/>
      <c r="H5" s="11"/>
      <c r="I5" s="11"/>
      <c r="J5" s="11"/>
      <c r="K5" s="11"/>
      <c r="AB5" s="23" t="s">
        <v>230</v>
      </c>
    </row>
    <row r="6" spans="1:11" ht="12.75">
      <c r="A6" s="12" t="s">
        <v>206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8" ht="18.75">
      <c r="A8" s="10" t="str">
        <f>Source!G20</f>
        <v>КРОВЕЛЬНЫЕ РАБОТЫ</v>
      </c>
      <c r="B8" s="11"/>
      <c r="C8" s="11"/>
      <c r="D8" s="11"/>
      <c r="E8" s="11"/>
      <c r="F8" s="11"/>
      <c r="G8" s="11"/>
      <c r="H8" s="11"/>
      <c r="I8" s="11"/>
      <c r="J8" s="11"/>
      <c r="K8" s="11"/>
      <c r="AB8" s="23" t="s">
        <v>12</v>
      </c>
    </row>
    <row r="9" spans="1:11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28" ht="18.75">
      <c r="A10" s="9" t="s">
        <v>207</v>
      </c>
      <c r="B10" s="13" t="str">
        <f>Source!G12</f>
        <v>ДОМ №7 Смета на ремонт кровли (сталь оцинкованная)</v>
      </c>
      <c r="C10" s="13"/>
      <c r="D10" s="13"/>
      <c r="E10" s="13"/>
      <c r="F10" s="13"/>
      <c r="G10" s="13"/>
      <c r="H10" s="13"/>
      <c r="I10" s="13"/>
      <c r="J10" s="13"/>
      <c r="K10" s="13"/>
      <c r="AB10" s="24" t="s">
        <v>5</v>
      </c>
    </row>
    <row r="11" spans="1:11" ht="15.75">
      <c r="A11" s="9"/>
      <c r="B11" s="12" t="s">
        <v>208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28" ht="15.75">
      <c r="A13" s="14" t="str">
        <f>CONCATENATE("Основание: чертежи № ",Source!J20)</f>
        <v>Основание: чертежи № 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AB13" s="25" t="s">
        <v>231</v>
      </c>
    </row>
    <row r="14" spans="1:11" ht="31.5">
      <c r="A14" s="9"/>
      <c r="B14" s="9"/>
      <c r="C14" s="9"/>
      <c r="D14" s="9"/>
      <c r="E14" s="9"/>
      <c r="F14" s="9"/>
      <c r="G14" s="9"/>
      <c r="H14" s="9"/>
      <c r="I14" s="15" t="s">
        <v>209</v>
      </c>
      <c r="J14" s="15" t="s">
        <v>210</v>
      </c>
      <c r="K14" s="9"/>
    </row>
    <row r="15" spans="1:11" ht="15.75">
      <c r="A15" s="9"/>
      <c r="B15" s="9"/>
      <c r="C15" s="9"/>
      <c r="D15" s="9"/>
      <c r="E15" s="9"/>
      <c r="F15" s="16" t="s">
        <v>211</v>
      </c>
      <c r="G15" s="16"/>
      <c r="H15" s="16"/>
      <c r="I15" s="17">
        <f>SUM(O24:O113)/1000</f>
        <v>42.677510000000005</v>
      </c>
      <c r="J15" s="17">
        <f>(Source!AR43)/1000</f>
        <v>41.84096</v>
      </c>
      <c r="K15" s="9" t="s">
        <v>212</v>
      </c>
    </row>
    <row r="16" spans="1:11" ht="15.75">
      <c r="A16" s="9"/>
      <c r="B16" s="9"/>
      <c r="C16" s="9"/>
      <c r="D16" s="9"/>
      <c r="E16" s="9"/>
      <c r="F16" s="16" t="s">
        <v>21</v>
      </c>
      <c r="G16" s="16"/>
      <c r="H16" s="16"/>
      <c r="I16" s="17">
        <f>SUM(X24:X113)/1000</f>
        <v>42.677510000000005</v>
      </c>
      <c r="J16" s="17">
        <f>(Source!F53)/1000</f>
        <v>41.84096</v>
      </c>
      <c r="K16" s="9" t="s">
        <v>212</v>
      </c>
    </row>
    <row r="17" spans="1:11" ht="15.75">
      <c r="A17" s="9"/>
      <c r="B17" s="9"/>
      <c r="C17" s="9"/>
      <c r="D17" s="9"/>
      <c r="E17" s="9"/>
      <c r="F17" s="16" t="s">
        <v>213</v>
      </c>
      <c r="G17" s="16"/>
      <c r="H17" s="16"/>
      <c r="I17" s="17">
        <f>SUM(Y24:Y113)/1000</f>
        <v>0</v>
      </c>
      <c r="J17" s="17">
        <f>(Source!F54)/1000</f>
        <v>0</v>
      </c>
      <c r="K17" s="9" t="s">
        <v>212</v>
      </c>
    </row>
    <row r="18" spans="1:11" ht="15.75">
      <c r="A18" s="9"/>
      <c r="B18" s="9"/>
      <c r="C18" s="9"/>
      <c r="D18" s="9"/>
      <c r="E18" s="9"/>
      <c r="F18" s="16" t="s">
        <v>214</v>
      </c>
      <c r="G18" s="16"/>
      <c r="H18" s="16"/>
      <c r="I18" s="17">
        <f>SUM(Z24:Z113)/1000</f>
        <v>0</v>
      </c>
      <c r="J18" s="17">
        <f>(Source!F48)/1000</f>
        <v>0</v>
      </c>
      <c r="K18" s="9" t="s">
        <v>212</v>
      </c>
    </row>
    <row r="19" spans="1:11" ht="15.75">
      <c r="A19" s="9"/>
      <c r="B19" s="9"/>
      <c r="C19" s="9"/>
      <c r="D19" s="9"/>
      <c r="E19" s="9"/>
      <c r="F19" s="16" t="s">
        <v>215</v>
      </c>
      <c r="G19" s="16"/>
      <c r="H19" s="16"/>
      <c r="I19" s="17">
        <f>SUM(AA24:AA113)/1000</f>
        <v>0</v>
      </c>
      <c r="J19" s="17">
        <f>(Source!F55)/1000</f>
        <v>0</v>
      </c>
      <c r="K19" s="9" t="s">
        <v>212</v>
      </c>
    </row>
    <row r="20" spans="1:11" ht="15.75">
      <c r="A20" s="9"/>
      <c r="B20" s="9"/>
      <c r="C20" s="9"/>
      <c r="D20" s="9"/>
      <c r="E20" s="9"/>
      <c r="F20" s="16" t="s">
        <v>216</v>
      </c>
      <c r="G20" s="16"/>
      <c r="H20" s="16"/>
      <c r="I20" s="17">
        <f>SUM(W24:W113)/1000</f>
        <v>6.14478</v>
      </c>
      <c r="J20" s="17">
        <f>((Source!F52+Source!F51)/1000)</f>
        <v>6.14478</v>
      </c>
      <c r="K20" s="9" t="s">
        <v>212</v>
      </c>
    </row>
    <row r="21" spans="1:11" ht="15.75">
      <c r="A21" s="9" t="s">
        <v>232</v>
      </c>
      <c r="B21" s="9"/>
      <c r="C21" s="9"/>
      <c r="D21" s="18"/>
      <c r="E21" s="19"/>
      <c r="F21" s="9"/>
      <c r="G21" s="9"/>
      <c r="H21" s="9"/>
      <c r="I21" s="9"/>
      <c r="J21" s="9"/>
      <c r="K21" s="9"/>
    </row>
    <row r="22" spans="1:11" ht="63">
      <c r="A22" s="20" t="s">
        <v>217</v>
      </c>
      <c r="B22" s="20" t="s">
        <v>218</v>
      </c>
      <c r="C22" s="20" t="s">
        <v>219</v>
      </c>
      <c r="D22" s="20" t="s">
        <v>220</v>
      </c>
      <c r="E22" s="20" t="s">
        <v>221</v>
      </c>
      <c r="F22" s="20" t="s">
        <v>222</v>
      </c>
      <c r="G22" s="21" t="s">
        <v>223</v>
      </c>
      <c r="H22" s="21" t="s">
        <v>224</v>
      </c>
      <c r="I22" s="20" t="s">
        <v>225</v>
      </c>
      <c r="J22" s="20" t="s">
        <v>226</v>
      </c>
      <c r="K22" s="20" t="s">
        <v>227</v>
      </c>
    </row>
    <row r="23" spans="1:11" ht="15.75">
      <c r="A23" s="20">
        <v>1</v>
      </c>
      <c r="B23" s="20">
        <v>2</v>
      </c>
      <c r="C23" s="20">
        <v>3</v>
      </c>
      <c r="D23" s="20">
        <v>4</v>
      </c>
      <c r="E23" s="20">
        <v>5</v>
      </c>
      <c r="F23" s="20">
        <v>6</v>
      </c>
      <c r="G23" s="20">
        <v>7</v>
      </c>
      <c r="H23" s="20">
        <v>8</v>
      </c>
      <c r="I23" s="20">
        <v>9</v>
      </c>
      <c r="J23" s="20">
        <v>10</v>
      </c>
      <c r="K23" s="20">
        <v>11</v>
      </c>
    </row>
    <row r="24" spans="1:22" ht="78.75">
      <c r="A24" s="26" t="str">
        <f>Source!E24</f>
        <v>1</v>
      </c>
      <c r="B24" s="27" t="str">
        <f>Source!F24</f>
        <v>3.12-7-8</v>
      </c>
      <c r="C24" s="25" t="str">
        <f>Source!G24</f>
        <v>УСТРОЙСТВО КРОВЛИ - ПАРАПЕТЫ С ПОКРЫТИЕМ МЕДЬЮ ПРИ ТОЛЩИНЕ ЛИСТА 0,8 ММ</v>
      </c>
      <c r="D24" s="29" t="str">
        <f>Source!H24</f>
        <v>100 м2</v>
      </c>
      <c r="E24" s="28">
        <f>ROUND(Source!I24,6)</f>
        <v>1</v>
      </c>
      <c r="F24" s="31"/>
      <c r="G24" s="30"/>
      <c r="H24" s="28"/>
      <c r="I24" s="32"/>
      <c r="J24" s="28"/>
      <c r="K24" s="32"/>
      <c r="Q24">
        <f>ROUND((Source!DN24/100)*ROUND(Source!CT24*Source!I24/IF(Source!BA24&lt;&gt;0,Source!BA24,1),2),2)</f>
        <v>5315.39</v>
      </c>
      <c r="R24">
        <f>Source!X24</f>
        <v>4916.73</v>
      </c>
      <c r="S24">
        <f>ROUND((Source!DO24/100)*ROUND(Source!CT24*Source!I24/IF(Source!BA24&lt;&gt;0,Source!BA24,1),2),2)</f>
        <v>3720.77</v>
      </c>
      <c r="T24">
        <f>Source!Y24</f>
        <v>3366.41</v>
      </c>
      <c r="U24">
        <f>ROUND((175/100)*ROUND(Source!CS24*Source!I24/IF(Source!BS24&lt;&gt;0,Source!BS24,1),2),2)</f>
        <v>316.4</v>
      </c>
      <c r="V24">
        <f>ROUND((180/100)*ROUND(Source!CS24*Source!I24,2),2)</f>
        <v>325.44</v>
      </c>
    </row>
    <row r="25" spans="1:23" ht="31.5">
      <c r="A25" s="26"/>
      <c r="B25" s="27"/>
      <c r="C25" s="25" t="s">
        <v>233</v>
      </c>
      <c r="D25" s="29"/>
      <c r="E25" s="28"/>
      <c r="F25" s="31">
        <f>Source!AO24</f>
        <v>3081.26</v>
      </c>
      <c r="G25" s="30" t="str">
        <f>Source!DG24</f>
        <v>)*1.15)*1.15</v>
      </c>
      <c r="H25" s="28">
        <f>Source!AV24</f>
        <v>1.087</v>
      </c>
      <c r="I25" s="32">
        <f>ROUND(Source!CT24*Source!I24/IF(Source!BA24&lt;&gt;0,Source!BA24,1),2)</f>
        <v>4429.49</v>
      </c>
      <c r="J25" s="28">
        <f>IF(Source!BA24&lt;&gt;0,Source!BA24,1)</f>
        <v>1</v>
      </c>
      <c r="K25" s="32">
        <f>Source!S24</f>
        <v>4429.49</v>
      </c>
      <c r="W25">
        <f>ROUND(Source!CT24*Source!I24/IF(Source!BA24&lt;&gt;0,Source!BA24,1),2)</f>
        <v>4429.49</v>
      </c>
    </row>
    <row r="26" spans="1:11" ht="31.5">
      <c r="A26" s="26"/>
      <c r="B26" s="27"/>
      <c r="C26" s="25" t="s">
        <v>234</v>
      </c>
      <c r="D26" s="29"/>
      <c r="E26" s="28"/>
      <c r="F26" s="31">
        <f>Source!AM24</f>
        <v>1060.12</v>
      </c>
      <c r="G26" s="30" t="str">
        <f>Source!DE24</f>
        <v>)*1.15)*1.25</v>
      </c>
      <c r="H26" s="28">
        <f>Source!AV24</f>
        <v>1.087</v>
      </c>
      <c r="I26" s="32">
        <f>ROUND(Source!CR24*Source!I24/IF(Source!BB24&lt;&gt;0,Source!BB24,1),2)</f>
        <v>1656.5</v>
      </c>
      <c r="J26" s="28">
        <f>IF(Source!BB24&lt;&gt;0,Source!BB24,1)</f>
        <v>1</v>
      </c>
      <c r="K26" s="32">
        <f>Source!Q24</f>
        <v>1656.5</v>
      </c>
    </row>
    <row r="27" spans="1:23" ht="31.5">
      <c r="A27" s="26"/>
      <c r="B27" s="27"/>
      <c r="C27" s="25" t="s">
        <v>235</v>
      </c>
      <c r="D27" s="29"/>
      <c r="E27" s="28"/>
      <c r="F27" s="31">
        <f>Source!AN24</f>
        <v>115.71</v>
      </c>
      <c r="G27" s="30" t="str">
        <f>Source!DF24</f>
        <v>)*1.15)*1.25</v>
      </c>
      <c r="H27" s="28">
        <f>Source!AV24</f>
        <v>1.087</v>
      </c>
      <c r="I27" s="32">
        <f>ROUND(Source!CS24*Source!I24/IF(Source!BS24&lt;&gt;0,Source!BS24,1),2)</f>
        <v>180.8</v>
      </c>
      <c r="J27" s="28">
        <f>IF(Source!BS24&lt;&gt;0,Source!BS24,1)</f>
        <v>1</v>
      </c>
      <c r="K27" s="32">
        <f>Source!R24</f>
        <v>180.8</v>
      </c>
      <c r="W27">
        <f>ROUND(Source!CS24*Source!I24/IF(Source!BS24&lt;&gt;0,Source!BS24,1),2)</f>
        <v>180.8</v>
      </c>
    </row>
    <row r="28" spans="1:11" ht="15.75">
      <c r="A28" s="26"/>
      <c r="B28" s="27"/>
      <c r="C28" s="25" t="s">
        <v>236</v>
      </c>
      <c r="D28" s="29"/>
      <c r="E28" s="28"/>
      <c r="F28" s="31">
        <f>Source!AL24</f>
        <v>722.07</v>
      </c>
      <c r="G28" s="30">
        <f>Source!DD24</f>
      </c>
      <c r="H28" s="28">
        <f>Source!AW24</f>
        <v>1.001</v>
      </c>
      <c r="I28" s="32">
        <f>ROUND(Source!CQ24*Source!I24/IF(Source!BC24&lt;&gt;0,Source!BC24,1),2)</f>
        <v>722.79</v>
      </c>
      <c r="J28" s="28">
        <f>IF(Source!BC24&lt;&gt;0,Source!BC24,1)</f>
        <v>1</v>
      </c>
      <c r="K28" s="32">
        <f>Source!P24</f>
        <v>722.79</v>
      </c>
    </row>
    <row r="29" spans="1:22" ht="94.5">
      <c r="A29" s="26" t="str">
        <f>Source!E25</f>
        <v>1,1</v>
      </c>
      <c r="B29" s="27" t="str">
        <f>Source!F25</f>
        <v>1.1-1-1079</v>
      </c>
      <c r="C29" s="25" t="str">
        <f>Source!G25</f>
        <v>СТАЛЬ КРОВЕЛЬНАЯ ЛИСТОВАЯ, ТОЛЩИНА 0,5 ММ, ВЕС ЛИСТА РАЗМЕРОМ 710Х1420 ММ 4 КГ, ОЦИНКОВАННАЯ</v>
      </c>
      <c r="D29" s="29" t="str">
        <f>Source!H25</f>
        <v>т</v>
      </c>
      <c r="E29" s="28">
        <f>ROUND(Source!I25,6)</f>
        <v>0.57</v>
      </c>
      <c r="F29" s="31">
        <f>IF(Source!AL25=0,Source!AK25,Source!AL25)</f>
        <v>15328.48</v>
      </c>
      <c r="G29" s="30">
        <f>Source!DD25</f>
      </c>
      <c r="H29" s="28"/>
      <c r="I29" s="32">
        <f>ROUND(Source!CQ25*Source!I25/IF(Source!BC25&lt;&gt;0,Source!BC25,1),2)+ROUND(Source!CR25*Source!I25/IF(Source!BB25&lt;&gt;0,Source!BB25,1),2)+ROUND(Source!CT25*Source!I25/IF(Source!BA25&lt;&gt;0,Source!BA25,1),2)</f>
        <v>8745.97</v>
      </c>
      <c r="J29" s="28">
        <f>IF(Source!BC25&lt;&gt;0,Source!BC25,1)</f>
        <v>1</v>
      </c>
      <c r="K29" s="32">
        <f>Source!O25</f>
        <v>8745.97</v>
      </c>
      <c r="Q29">
        <f>ROUND((Source!DN25/100)*ROUND(Source!CT25*Source!I25/IF(Source!BA25&lt;&gt;0,Source!BA25,1),2),2)</f>
        <v>0</v>
      </c>
      <c r="R29">
        <f>Source!X25</f>
        <v>0</v>
      </c>
      <c r="S29">
        <f>ROUND((Source!DO25/100)*ROUND(Source!CT25*Source!I25/IF(Source!BA25&lt;&gt;0,Source!BA25,1),2),2)</f>
        <v>0</v>
      </c>
      <c r="T29">
        <f>Source!Y25</f>
        <v>0</v>
      </c>
      <c r="U29">
        <f>ROUND((175/100)*ROUND(Source!CS25*Source!I25/IF(Source!BS25&lt;&gt;0,Source!BS25,1),2),2)</f>
        <v>0</v>
      </c>
      <c r="V29">
        <f>ROUND((180/100)*ROUND(Source!CS25*Source!I25,2),2)</f>
        <v>0</v>
      </c>
    </row>
    <row r="30" spans="1:11" ht="15.75">
      <c r="A30" s="26"/>
      <c r="B30" s="27"/>
      <c r="C30" s="25" t="s">
        <v>237</v>
      </c>
      <c r="D30" s="29" t="s">
        <v>238</v>
      </c>
      <c r="E30" s="28">
        <f>Source!DN24</f>
        <v>120</v>
      </c>
      <c r="F30" s="31"/>
      <c r="G30" s="30"/>
      <c r="H30" s="28"/>
      <c r="I30" s="32">
        <f>SUM(Q24:Q29)</f>
        <v>5315.39</v>
      </c>
      <c r="J30" s="28">
        <f>Source!BZ24</f>
        <v>111</v>
      </c>
      <c r="K30" s="32">
        <f>SUM(R24:R29)</f>
        <v>4916.73</v>
      </c>
    </row>
    <row r="31" spans="1:11" ht="15.75">
      <c r="A31" s="26"/>
      <c r="B31" s="27"/>
      <c r="C31" s="25" t="s">
        <v>239</v>
      </c>
      <c r="D31" s="29" t="s">
        <v>238</v>
      </c>
      <c r="E31" s="28">
        <f>Source!DO24</f>
        <v>84</v>
      </c>
      <c r="F31" s="31"/>
      <c r="G31" s="30"/>
      <c r="H31" s="28"/>
      <c r="I31" s="32">
        <f>SUM(S24:S30)</f>
        <v>3720.77</v>
      </c>
      <c r="J31" s="28">
        <f>Source!CA24</f>
        <v>76</v>
      </c>
      <c r="K31" s="32">
        <f>SUM(T24:T30)</f>
        <v>3366.41</v>
      </c>
    </row>
    <row r="32" spans="1:11" ht="15.75">
      <c r="A32" s="26"/>
      <c r="B32" s="27"/>
      <c r="C32" s="25" t="s">
        <v>240</v>
      </c>
      <c r="D32" s="29" t="s">
        <v>238</v>
      </c>
      <c r="E32" s="28">
        <f>175</f>
        <v>175</v>
      </c>
      <c r="F32" s="31"/>
      <c r="G32" s="30"/>
      <c r="H32" s="28"/>
      <c r="I32" s="32">
        <f>SUM(U24:U31)</f>
        <v>316.4</v>
      </c>
      <c r="J32" s="28">
        <f>180</f>
        <v>180</v>
      </c>
      <c r="K32" s="32">
        <f>SUM(V24:V31)</f>
        <v>325.44</v>
      </c>
    </row>
    <row r="33" spans="1:11" ht="15.75">
      <c r="A33" s="36"/>
      <c r="B33" s="37"/>
      <c r="C33" s="38" t="s">
        <v>241</v>
      </c>
      <c r="D33" s="39" t="s">
        <v>242</v>
      </c>
      <c r="E33" s="40">
        <f>Source!AQ24</f>
        <v>182</v>
      </c>
      <c r="F33" s="41"/>
      <c r="G33" s="42" t="str">
        <f>Source!DI24</f>
        <v>)*1.15</v>
      </c>
      <c r="H33" s="40"/>
      <c r="I33" s="43">
        <f>Source!U24</f>
        <v>227.50909999999996</v>
      </c>
      <c r="J33" s="40"/>
      <c r="K33" s="43"/>
    </row>
    <row r="34" spans="8:27" ht="15.75">
      <c r="H34" s="35">
        <f>ROUND(Source!CQ24*Source!I24/IF(Source!BC24&lt;&gt;0,Source!BC24,1),2)+ROUND(Source!CT24*Source!I24/IF(Source!BA24&lt;&gt;0,Source!BA24,1),2)+ROUND(Source!CR24*Source!I24/IF(Source!BB24&lt;&gt;0,Source!BB24,1),2)+SUM(I29:I32)</f>
        <v>24907.31</v>
      </c>
      <c r="I34" s="35"/>
      <c r="J34" s="35">
        <f>Source!O24+SUM(K29:K32)</f>
        <v>24163.329999999998</v>
      </c>
      <c r="K34" s="35"/>
      <c r="O34" s="33">
        <f>H34</f>
        <v>24907.31</v>
      </c>
      <c r="P34" s="33">
        <f>J34</f>
        <v>24163.329999999998</v>
      </c>
      <c r="X34">
        <f>IF(Source!BI24&lt;=1,H34,0)</f>
        <v>24907.31</v>
      </c>
      <c r="Y34">
        <f>IF(Source!BI24=2,H34,0)</f>
        <v>0</v>
      </c>
      <c r="Z34">
        <f>IF(Source!BI24=3,H34,0)</f>
        <v>0</v>
      </c>
      <c r="AA34">
        <f>IF(Source!BI24=4,H34,0)</f>
        <v>0</v>
      </c>
    </row>
    <row r="35" spans="1:22" ht="31.5">
      <c r="A35" s="26" t="str">
        <f>Source!E26</f>
        <v>2</v>
      </c>
      <c r="B35" s="27" t="str">
        <f>Source!F26</f>
        <v>3.12-16-1</v>
      </c>
      <c r="C35" s="25" t="str">
        <f>Source!G26</f>
        <v>ОГРАЖДЕНИЕ КРОВЕЛЬ ПЕРИЛАМИ</v>
      </c>
      <c r="D35" s="29" t="str">
        <f>Source!H26</f>
        <v>100 м</v>
      </c>
      <c r="E35" s="28">
        <f>ROUND(Source!I26,6)</f>
        <v>1</v>
      </c>
      <c r="F35" s="31"/>
      <c r="G35" s="30"/>
      <c r="H35" s="28"/>
      <c r="I35" s="32"/>
      <c r="J35" s="28"/>
      <c r="K35" s="32"/>
      <c r="Q35">
        <f>ROUND((Source!DN26/100)*ROUND(Source!CT26*Source!I26/IF(Source!BA26&lt;&gt;0,Source!BA26,1),2),2)</f>
        <v>118.16</v>
      </c>
      <c r="R35">
        <f>Source!X26</f>
        <v>109.3</v>
      </c>
      <c r="S35">
        <f>ROUND((Source!DO26/100)*ROUND(Source!CT26*Source!I26/IF(Source!BA26&lt;&gt;0,Source!BA26,1),2),2)</f>
        <v>82.71</v>
      </c>
      <c r="T35">
        <f>Source!Y26</f>
        <v>74.84</v>
      </c>
      <c r="U35">
        <f>ROUND((175/100)*ROUND(Source!CS26*Source!I26/IF(Source!BS26&lt;&gt;0,Source!BS26,1),2),2)</f>
        <v>15.72</v>
      </c>
      <c r="V35">
        <f>ROUND((180/100)*ROUND(Source!CS26*Source!I26,2),2)</f>
        <v>16.16</v>
      </c>
    </row>
    <row r="36" spans="1:23" ht="31.5">
      <c r="A36" s="26"/>
      <c r="B36" s="27"/>
      <c r="C36" s="25" t="s">
        <v>233</v>
      </c>
      <c r="D36" s="29"/>
      <c r="E36" s="28"/>
      <c r="F36" s="31">
        <f>Source!AO26</f>
        <v>68.5</v>
      </c>
      <c r="G36" s="30" t="str">
        <f>Source!DG26</f>
        <v>)*1.15)*1.15</v>
      </c>
      <c r="H36" s="28">
        <f>Source!AV26</f>
        <v>1.087</v>
      </c>
      <c r="I36" s="32">
        <f>ROUND(Source!CT26*Source!I26/IF(Source!BA26&lt;&gt;0,Source!BA26,1),2)</f>
        <v>98.47</v>
      </c>
      <c r="J36" s="28">
        <f>IF(Source!BA26&lt;&gt;0,Source!BA26,1)</f>
        <v>1</v>
      </c>
      <c r="K36" s="32">
        <f>Source!S26</f>
        <v>98.47</v>
      </c>
      <c r="W36">
        <f>ROUND(Source!CT26*Source!I26/IF(Source!BA26&lt;&gt;0,Source!BA26,1),2)</f>
        <v>98.47</v>
      </c>
    </row>
    <row r="37" spans="1:11" ht="31.5">
      <c r="A37" s="26"/>
      <c r="B37" s="27"/>
      <c r="C37" s="25" t="s">
        <v>234</v>
      </c>
      <c r="D37" s="29"/>
      <c r="E37" s="28"/>
      <c r="F37" s="31">
        <f>Source!AM26</f>
        <v>29.78</v>
      </c>
      <c r="G37" s="30" t="str">
        <f>Source!DE26</f>
        <v>)*1.15)*1.25</v>
      </c>
      <c r="H37" s="28">
        <f>Source!AV26</f>
        <v>1.087</v>
      </c>
      <c r="I37" s="32">
        <f>ROUND(Source!CR26*Source!I26/IF(Source!BB26&lt;&gt;0,Source!BB26,1),2)</f>
        <v>46.53</v>
      </c>
      <c r="J37" s="28">
        <f>IF(Source!BB26&lt;&gt;0,Source!BB26,1)</f>
        <v>1</v>
      </c>
      <c r="K37" s="32">
        <f>Source!Q26</f>
        <v>46.53</v>
      </c>
    </row>
    <row r="38" spans="1:23" ht="31.5">
      <c r="A38" s="26"/>
      <c r="B38" s="27"/>
      <c r="C38" s="25" t="s">
        <v>235</v>
      </c>
      <c r="D38" s="29"/>
      <c r="E38" s="28"/>
      <c r="F38" s="31">
        <f>Source!AN26</f>
        <v>5.75</v>
      </c>
      <c r="G38" s="30" t="str">
        <f>Source!DF26</f>
        <v>)*1.15)*1.25</v>
      </c>
      <c r="H38" s="28">
        <f>Source!AV26</f>
        <v>1.087</v>
      </c>
      <c r="I38" s="32">
        <f>ROUND(Source!CS26*Source!I26/IF(Source!BS26&lt;&gt;0,Source!BS26,1),2)</f>
        <v>8.98</v>
      </c>
      <c r="J38" s="28">
        <f>IF(Source!BS26&lt;&gt;0,Source!BS26,1)</f>
        <v>1</v>
      </c>
      <c r="K38" s="32">
        <f>Source!R26</f>
        <v>8.98</v>
      </c>
      <c r="W38">
        <f>ROUND(Source!CS26*Source!I26/IF(Source!BS26&lt;&gt;0,Source!BS26,1),2)</f>
        <v>8.98</v>
      </c>
    </row>
    <row r="39" spans="1:11" ht="15.75">
      <c r="A39" s="26"/>
      <c r="B39" s="27"/>
      <c r="C39" s="25" t="s">
        <v>236</v>
      </c>
      <c r="D39" s="29"/>
      <c r="E39" s="28"/>
      <c r="F39" s="31">
        <f>Source!AL26</f>
        <v>15.62</v>
      </c>
      <c r="G39" s="30">
        <f>Source!DD26</f>
      </c>
      <c r="H39" s="28">
        <f>Source!AW26</f>
        <v>1.001</v>
      </c>
      <c r="I39" s="32">
        <f>ROUND(Source!CQ26*Source!I26/IF(Source!BC26&lt;&gt;0,Source!BC26,1),2)</f>
        <v>15.64</v>
      </c>
      <c r="J39" s="28">
        <f>IF(Source!BC26&lt;&gt;0,Source!BC26,1)</f>
        <v>1</v>
      </c>
      <c r="K39" s="32">
        <f>Source!P26</f>
        <v>15.64</v>
      </c>
    </row>
    <row r="40" spans="1:22" ht="78.75">
      <c r="A40" s="26" t="str">
        <f>Source!E27</f>
        <v>2,1</v>
      </c>
      <c r="B40" s="27" t="str">
        <f>Source!F27</f>
        <v>1.6-1-218</v>
      </c>
      <c r="C40" s="25" t="str">
        <f>Source!G27</f>
        <v>ОГРАЖДЕНИЯ ИЗ ПРОКАТНЫХ И ГНУТЫХ ПРОФИЛЕЙ ПОЛОСОВОЙ И КРУГЛОЙ СТАЛИ</v>
      </c>
      <c r="D40" s="29" t="str">
        <f>Source!H27</f>
        <v>т</v>
      </c>
      <c r="E40" s="28">
        <f>ROUND(Source!I27,6)</f>
        <v>0.3</v>
      </c>
      <c r="F40" s="31">
        <f>IF(Source!AL27=0,Source!AK27,Source!AL27)</f>
        <v>14881.46</v>
      </c>
      <c r="G40" s="30">
        <f>Source!DD27</f>
      </c>
      <c r="H40" s="28"/>
      <c r="I40" s="32">
        <f>ROUND(Source!CQ27*Source!I27/IF(Source!BC27&lt;&gt;0,Source!BC27,1),2)+ROUND(Source!CR27*Source!I27/IF(Source!BB27&lt;&gt;0,Source!BB27,1),2)+ROUND(Source!CT27*Source!I27/IF(Source!BA27&lt;&gt;0,Source!BA27,1),2)</f>
        <v>4468.9</v>
      </c>
      <c r="J40" s="28">
        <f>IF(Source!BC27&lt;&gt;0,Source!BC27,1)</f>
        <v>1</v>
      </c>
      <c r="K40" s="32">
        <f>Source!O27</f>
        <v>4468.9</v>
      </c>
      <c r="Q40">
        <f>ROUND((Source!DN27/100)*ROUND(Source!CT27*Source!I27/IF(Source!BA27&lt;&gt;0,Source!BA27,1),2),2)</f>
        <v>0</v>
      </c>
      <c r="R40">
        <f>Source!X27</f>
        <v>0</v>
      </c>
      <c r="S40">
        <f>ROUND((Source!DO27/100)*ROUND(Source!CT27*Source!I27/IF(Source!BA27&lt;&gt;0,Source!BA27,1),2),2)</f>
        <v>0</v>
      </c>
      <c r="T40">
        <f>Source!Y27</f>
        <v>0</v>
      </c>
      <c r="U40">
        <f>ROUND((175/100)*ROUND(Source!CS27*Source!I27/IF(Source!BS27&lt;&gt;0,Source!BS27,1),2),2)</f>
        <v>0</v>
      </c>
      <c r="V40">
        <f>ROUND((180/100)*ROUND(Source!CS27*Source!I27,2),2)</f>
        <v>0</v>
      </c>
    </row>
    <row r="41" spans="1:11" ht="15.75">
      <c r="A41" s="26"/>
      <c r="B41" s="27"/>
      <c r="C41" s="25" t="s">
        <v>237</v>
      </c>
      <c r="D41" s="29" t="s">
        <v>238</v>
      </c>
      <c r="E41" s="28">
        <f>Source!DN26</f>
        <v>120</v>
      </c>
      <c r="F41" s="31"/>
      <c r="G41" s="30"/>
      <c r="H41" s="28"/>
      <c r="I41" s="32">
        <f>SUM(Q35:Q40)</f>
        <v>118.16</v>
      </c>
      <c r="J41" s="28">
        <f>Source!BZ26</f>
        <v>111</v>
      </c>
      <c r="K41" s="32">
        <f>SUM(R35:R40)</f>
        <v>109.3</v>
      </c>
    </row>
    <row r="42" spans="1:11" ht="15.75">
      <c r="A42" s="26"/>
      <c r="B42" s="27"/>
      <c r="C42" s="25" t="s">
        <v>239</v>
      </c>
      <c r="D42" s="29" t="s">
        <v>238</v>
      </c>
      <c r="E42" s="28">
        <f>Source!DO26</f>
        <v>84</v>
      </c>
      <c r="F42" s="31"/>
      <c r="G42" s="30"/>
      <c r="H42" s="28"/>
      <c r="I42" s="32">
        <f>SUM(S35:S41)</f>
        <v>82.71</v>
      </c>
      <c r="J42" s="28">
        <f>Source!CA26</f>
        <v>76</v>
      </c>
      <c r="K42" s="32">
        <f>SUM(T35:T41)</f>
        <v>74.84</v>
      </c>
    </row>
    <row r="43" spans="1:11" ht="15.75">
      <c r="A43" s="26"/>
      <c r="B43" s="27"/>
      <c r="C43" s="25" t="s">
        <v>240</v>
      </c>
      <c r="D43" s="29" t="s">
        <v>238</v>
      </c>
      <c r="E43" s="28">
        <f>175</f>
        <v>175</v>
      </c>
      <c r="F43" s="31"/>
      <c r="G43" s="30"/>
      <c r="H43" s="28"/>
      <c r="I43" s="32">
        <f>SUM(U35:U42)</f>
        <v>15.72</v>
      </c>
      <c r="J43" s="28">
        <f>180</f>
        <v>180</v>
      </c>
      <c r="K43" s="32">
        <f>SUM(V35:V42)</f>
        <v>16.16</v>
      </c>
    </row>
    <row r="44" spans="1:11" ht="15.75">
      <c r="A44" s="36"/>
      <c r="B44" s="37"/>
      <c r="C44" s="38" t="s">
        <v>241</v>
      </c>
      <c r="D44" s="39" t="s">
        <v>242</v>
      </c>
      <c r="E44" s="40">
        <f>Source!AQ26</f>
        <v>5.9</v>
      </c>
      <c r="F44" s="41"/>
      <c r="G44" s="42" t="str">
        <f>Source!DI26</f>
        <v>)*1.15</v>
      </c>
      <c r="H44" s="40"/>
      <c r="I44" s="43">
        <f>Source!U26</f>
        <v>7.3752949999999995</v>
      </c>
      <c r="J44" s="40"/>
      <c r="K44" s="43"/>
    </row>
    <row r="45" spans="8:27" ht="15.75">
      <c r="H45" s="35">
        <f>ROUND(Source!CQ26*Source!I26/IF(Source!BC26&lt;&gt;0,Source!BC26,1),2)+ROUND(Source!CT26*Source!I26/IF(Source!BA26&lt;&gt;0,Source!BA26,1),2)+ROUND(Source!CR26*Source!I26/IF(Source!BB26&lt;&gt;0,Source!BB26,1),2)+SUM(I40:I43)</f>
        <v>4846.13</v>
      </c>
      <c r="I45" s="35"/>
      <c r="J45" s="35">
        <f>Source!O26+SUM(K40:K43)</f>
        <v>4829.84</v>
      </c>
      <c r="K45" s="35"/>
      <c r="O45" s="33">
        <f>H45</f>
        <v>4846.13</v>
      </c>
      <c r="P45" s="33">
        <f>J45</f>
        <v>4829.84</v>
      </c>
      <c r="X45">
        <f>IF(Source!BI26&lt;=1,H45,0)</f>
        <v>4846.13</v>
      </c>
      <c r="Y45">
        <f>IF(Source!BI26=2,H45,0)</f>
        <v>0</v>
      </c>
      <c r="Z45">
        <f>IF(Source!BI26=3,H45,0)</f>
        <v>0</v>
      </c>
      <c r="AA45">
        <f>IF(Source!BI26=4,H45,0)</f>
        <v>0</v>
      </c>
    </row>
    <row r="46" spans="1:22" ht="78.75">
      <c r="A46" s="26" t="str">
        <f>Source!E28</f>
        <v>3</v>
      </c>
      <c r="B46" s="27" t="str">
        <f>Source!F28</f>
        <v>6.58-4-2</v>
      </c>
      <c r="C46" s="25" t="str">
        <f>Source!G28</f>
        <v>РАЗБОРКА ВОДОСТОЧНЫХ ТРУБ ИЗ ЛИСТОВОЙ СТАЛИ С ЗЕМЛИ И ПОДМОСТЕЙ</v>
      </c>
      <c r="D46" s="29" t="str">
        <f>Source!H28</f>
        <v>100 м</v>
      </c>
      <c r="E46" s="28">
        <f>ROUND(Source!I28,6)</f>
        <v>1</v>
      </c>
      <c r="F46" s="31"/>
      <c r="G46" s="30"/>
      <c r="H46" s="28"/>
      <c r="I46" s="32"/>
      <c r="J46" s="28"/>
      <c r="K46" s="32"/>
      <c r="Q46">
        <f>ROUND((Source!DN28/100)*ROUND(Source!CT28*Source!I28/IF(Source!BA28&lt;&gt;0,Source!BA28,1),2),2)</f>
        <v>111.87</v>
      </c>
      <c r="R46">
        <f>Source!X28</f>
        <v>120.26</v>
      </c>
      <c r="S46">
        <f>ROUND((Source!DO28/100)*ROUND(Source!CT28*Source!I28/IF(Source!BA28&lt;&gt;0,Source!BA28,1),2),2)</f>
        <v>76.91</v>
      </c>
      <c r="T46">
        <f>Source!Y28</f>
        <v>74.12</v>
      </c>
      <c r="U46">
        <f>ROUND((175/100)*ROUND(Source!CS28*Source!I28/IF(Source!BS28&lt;&gt;0,Source!BS28,1),2),2)</f>
        <v>0</v>
      </c>
      <c r="V46">
        <f>ROUND((180/100)*ROUND(Source!CS28*Source!I28,2),2)</f>
        <v>0</v>
      </c>
    </row>
    <row r="47" spans="1:23" ht="15.75">
      <c r="A47" s="26"/>
      <c r="B47" s="27"/>
      <c r="C47" s="25" t="s">
        <v>233</v>
      </c>
      <c r="D47" s="29"/>
      <c r="E47" s="28"/>
      <c r="F47" s="31">
        <f>Source!AO28</f>
        <v>116.14</v>
      </c>
      <c r="G47" s="30" t="str">
        <f>Source!DG28</f>
        <v>)*1.15</v>
      </c>
      <c r="H47" s="28">
        <f>Source!AV28</f>
        <v>1.047</v>
      </c>
      <c r="I47" s="32">
        <f>ROUND(Source!CT28*Source!I28/IF(Source!BA28&lt;&gt;0,Source!BA28,1),2)</f>
        <v>139.84</v>
      </c>
      <c r="J47" s="28">
        <f>IF(Source!BA28&lt;&gt;0,Source!BA28,1)</f>
        <v>1</v>
      </c>
      <c r="K47" s="32">
        <f>Source!S28</f>
        <v>139.84</v>
      </c>
      <c r="W47">
        <f>ROUND(Source!CT28*Source!I28/IF(Source!BA28&lt;&gt;0,Source!BA28,1),2)</f>
        <v>139.84</v>
      </c>
    </row>
    <row r="48" spans="1:11" ht="15.75">
      <c r="A48" s="26"/>
      <c r="B48" s="27"/>
      <c r="C48" s="25" t="s">
        <v>237</v>
      </c>
      <c r="D48" s="29" t="s">
        <v>238</v>
      </c>
      <c r="E48" s="28">
        <f>Source!DN28</f>
        <v>80</v>
      </c>
      <c r="F48" s="31"/>
      <c r="G48" s="30"/>
      <c r="H48" s="28"/>
      <c r="I48" s="32">
        <f>SUM(Q46:Q47)</f>
        <v>111.87</v>
      </c>
      <c r="J48" s="28">
        <f>Source!BZ28</f>
        <v>86</v>
      </c>
      <c r="K48" s="32">
        <f>SUM(R46:R47)</f>
        <v>120.26</v>
      </c>
    </row>
    <row r="49" spans="1:11" ht="15.75">
      <c r="A49" s="26"/>
      <c r="B49" s="27"/>
      <c r="C49" s="25" t="s">
        <v>239</v>
      </c>
      <c r="D49" s="29" t="s">
        <v>238</v>
      </c>
      <c r="E49" s="28">
        <f>Source!DO28</f>
        <v>55</v>
      </c>
      <c r="F49" s="31"/>
      <c r="G49" s="30"/>
      <c r="H49" s="28"/>
      <c r="I49" s="32">
        <f>SUM(S46:S48)</f>
        <v>76.91</v>
      </c>
      <c r="J49" s="28">
        <f>Source!CA28</f>
        <v>53</v>
      </c>
      <c r="K49" s="32">
        <f>SUM(T46:T48)</f>
        <v>74.12</v>
      </c>
    </row>
    <row r="50" spans="1:11" ht="15.75">
      <c r="A50" s="36"/>
      <c r="B50" s="37"/>
      <c r="C50" s="38" t="s">
        <v>241</v>
      </c>
      <c r="D50" s="39" t="s">
        <v>242</v>
      </c>
      <c r="E50" s="40">
        <f>Source!AQ28</f>
        <v>11.04</v>
      </c>
      <c r="F50" s="41"/>
      <c r="G50" s="42" t="str">
        <f>Source!DI28</f>
        <v>)*1.15</v>
      </c>
      <c r="H50" s="40"/>
      <c r="I50" s="43">
        <f>Source!U28</f>
        <v>13.292711999999996</v>
      </c>
      <c r="J50" s="40"/>
      <c r="K50" s="43"/>
    </row>
    <row r="51" spans="8:27" ht="15.75">
      <c r="H51" s="35">
        <f>ROUND(Source!CQ28*Source!I28/IF(Source!BC28&lt;&gt;0,Source!BC28,1),2)+ROUND(Source!CT28*Source!I28/IF(Source!BA28&lt;&gt;0,Source!BA28,1),2)+ROUND(Source!CR28*Source!I28/IF(Source!BB28&lt;&gt;0,Source!BB28,1),2)+SUM(I48:I49)</f>
        <v>328.62</v>
      </c>
      <c r="I51" s="35"/>
      <c r="J51" s="35">
        <f>Source!O28+SUM(K48:K49)</f>
        <v>334.22</v>
      </c>
      <c r="K51" s="35"/>
      <c r="O51" s="33">
        <f>H51</f>
        <v>328.62</v>
      </c>
      <c r="P51" s="33">
        <f>J51</f>
        <v>334.22</v>
      </c>
      <c r="X51">
        <f>IF(Source!BI28&lt;=1,H51,0)</f>
        <v>328.62</v>
      </c>
      <c r="Y51">
        <f>IF(Source!BI28=2,H51,0)</f>
        <v>0</v>
      </c>
      <c r="Z51">
        <f>IF(Source!BI28=3,H51,0)</f>
        <v>0</v>
      </c>
      <c r="AA51">
        <f>IF(Source!BI28=4,H51,0)</f>
        <v>0</v>
      </c>
    </row>
    <row r="52" spans="1:22" ht="47.25">
      <c r="A52" s="26" t="str">
        <f>Source!E29</f>
        <v>4</v>
      </c>
      <c r="B52" s="27" t="str">
        <f>Source!F29</f>
        <v>6.58-19-1</v>
      </c>
      <c r="C52" s="25" t="str">
        <f>Source!G29</f>
        <v>НАВЕСКА ВОДОСТОЧНЫХ ТРУБ С ПОДМОСТЕЙ</v>
      </c>
      <c r="D52" s="29" t="str">
        <f>Source!H29</f>
        <v>100 м</v>
      </c>
      <c r="E52" s="28">
        <f>ROUND(Source!I29,6)</f>
        <v>1</v>
      </c>
      <c r="F52" s="31"/>
      <c r="G52" s="30"/>
      <c r="H52" s="28"/>
      <c r="I52" s="32"/>
      <c r="J52" s="28"/>
      <c r="K52" s="32"/>
      <c r="Q52">
        <f>ROUND((Source!DN29/100)*ROUND(Source!CT29*Source!I29/IF(Source!BA29&lt;&gt;0,Source!BA29,1),2),2)</f>
        <v>574.88</v>
      </c>
      <c r="R52">
        <f>Source!X29</f>
        <v>613.57</v>
      </c>
      <c r="S52">
        <f>ROUND((Source!DO29/100)*ROUND(Source!CT29*Source!I29/IF(Source!BA29&lt;&gt;0,Source!BA29,1),2),2)</f>
        <v>436.69</v>
      </c>
      <c r="T52">
        <f>Source!Y29</f>
        <v>420.11</v>
      </c>
      <c r="U52">
        <f>ROUND((175/100)*ROUND(Source!CS29*Source!I29/IF(Source!BS29&lt;&gt;0,Source!BS29,1),2),2)</f>
        <v>0.19</v>
      </c>
      <c r="V52">
        <f>ROUND((180/100)*ROUND(Source!CS29*Source!I29,2),2)</f>
        <v>0.2</v>
      </c>
    </row>
    <row r="53" spans="1:23" ht="15.75">
      <c r="A53" s="26"/>
      <c r="B53" s="27"/>
      <c r="C53" s="25" t="s">
        <v>233</v>
      </c>
      <c r="D53" s="29"/>
      <c r="E53" s="28"/>
      <c r="F53" s="31">
        <f>Source!AO29</f>
        <v>442.2</v>
      </c>
      <c r="G53" s="30" t="str">
        <f>Source!DG29</f>
        <v>)*1.15</v>
      </c>
      <c r="H53" s="28">
        <f>Source!AV29</f>
        <v>1.087</v>
      </c>
      <c r="I53" s="32">
        <f>ROUND(Source!CT29*Source!I29/IF(Source!BA29&lt;&gt;0,Source!BA29,1),2)</f>
        <v>552.77</v>
      </c>
      <c r="J53" s="28">
        <f>IF(Source!BA29&lt;&gt;0,Source!BA29,1)</f>
        <v>1</v>
      </c>
      <c r="K53" s="32">
        <f>Source!S29</f>
        <v>552.77</v>
      </c>
      <c r="W53">
        <f>ROUND(Source!CT29*Source!I29/IF(Source!BA29&lt;&gt;0,Source!BA29,1),2)</f>
        <v>552.77</v>
      </c>
    </row>
    <row r="54" spans="1:11" ht="15.75">
      <c r="A54" s="26"/>
      <c r="B54" s="27"/>
      <c r="C54" s="25" t="s">
        <v>234</v>
      </c>
      <c r="D54" s="29"/>
      <c r="E54" s="28"/>
      <c r="F54" s="31">
        <f>Source!AM29</f>
        <v>2.15</v>
      </c>
      <c r="G54" s="30" t="str">
        <f>Source!DE29</f>
        <v>)*1.15</v>
      </c>
      <c r="H54" s="28">
        <f>Source!AV29</f>
        <v>1.087</v>
      </c>
      <c r="I54" s="32">
        <f>ROUND(Source!CR29*Source!I29/IF(Source!BB29&lt;&gt;0,Source!BB29,1),2)</f>
        <v>2.69</v>
      </c>
      <c r="J54" s="28">
        <f>IF(Source!BB29&lt;&gt;0,Source!BB29,1)</f>
        <v>1</v>
      </c>
      <c r="K54" s="32">
        <f>Source!Q29</f>
        <v>2.69</v>
      </c>
    </row>
    <row r="55" spans="1:23" ht="15.75">
      <c r="A55" s="26"/>
      <c r="B55" s="27"/>
      <c r="C55" s="25" t="s">
        <v>235</v>
      </c>
      <c r="D55" s="29"/>
      <c r="E55" s="28"/>
      <c r="F55" s="31">
        <f>Source!AN29</f>
        <v>0.09</v>
      </c>
      <c r="G55" s="30" t="str">
        <f>Source!DF29</f>
        <v>)*1.15</v>
      </c>
      <c r="H55" s="28">
        <f>Source!AV29</f>
        <v>1.087</v>
      </c>
      <c r="I55" s="32">
        <f>ROUND(Source!CS29*Source!I29/IF(Source!BS29&lt;&gt;0,Source!BS29,1),2)</f>
        <v>0.11</v>
      </c>
      <c r="J55" s="28">
        <f>IF(Source!BS29&lt;&gt;0,Source!BS29,1)</f>
        <v>1</v>
      </c>
      <c r="K55" s="32">
        <f>Source!R29</f>
        <v>0.11</v>
      </c>
      <c r="W55">
        <f>ROUND(Source!CS29*Source!I29/IF(Source!BS29&lt;&gt;0,Source!BS29,1),2)</f>
        <v>0.11</v>
      </c>
    </row>
    <row r="56" spans="1:11" ht="15.75">
      <c r="A56" s="26"/>
      <c r="B56" s="27"/>
      <c r="C56" s="25" t="s">
        <v>236</v>
      </c>
      <c r="D56" s="29"/>
      <c r="E56" s="28"/>
      <c r="F56" s="31">
        <f>Source!AL29</f>
        <v>652.71</v>
      </c>
      <c r="G56" s="30">
        <f>Source!DD29</f>
      </c>
      <c r="H56" s="28">
        <f>Source!AW29</f>
        <v>1.001</v>
      </c>
      <c r="I56" s="32">
        <f>ROUND(Source!CQ29*Source!I29/IF(Source!BC29&lt;&gt;0,Source!BC29,1),2)</f>
        <v>653.36</v>
      </c>
      <c r="J56" s="28">
        <f>IF(Source!BC29&lt;&gt;0,Source!BC29,1)</f>
        <v>1</v>
      </c>
      <c r="K56" s="32">
        <f>Source!P29</f>
        <v>653.36</v>
      </c>
    </row>
    <row r="57" spans="1:22" ht="63">
      <c r="A57" s="26" t="str">
        <f>Source!E30</f>
        <v>4,1</v>
      </c>
      <c r="B57" s="27" t="str">
        <f>Source!F30</f>
        <v>1.1-1-1086</v>
      </c>
      <c r="C57" s="25" t="str">
        <f>Source!G30</f>
        <v>СТАЛЬ ЛИСТОВАЯ, ОЦИНКОВАННАЯ, ТОЛЩИНА 0,55-0,65 ММ</v>
      </c>
      <c r="D57" s="29" t="str">
        <f>Source!H30</f>
        <v>т</v>
      </c>
      <c r="E57" s="28">
        <f>ROUND(Source!I30,6)</f>
        <v>0.254</v>
      </c>
      <c r="F57" s="31">
        <f>IF(Source!AL30=0,Source!AK30,Source!AL30)</f>
        <v>14739.12</v>
      </c>
      <c r="G57" s="30">
        <f>Source!DD30</f>
      </c>
      <c r="H57" s="28"/>
      <c r="I57" s="32">
        <f>ROUND(Source!CQ30*Source!I30/IF(Source!BC30&lt;&gt;0,Source!BC30,1),2)+ROUND(Source!CR30*Source!I30/IF(Source!BB30&lt;&gt;0,Source!BB30,1),2)+ROUND(Source!CT30*Source!I30/IF(Source!BA30&lt;&gt;0,Source!BA30,1),2)</f>
        <v>3747.48</v>
      </c>
      <c r="J57" s="28">
        <f>IF(Source!BC30&lt;&gt;0,Source!BC30,1)</f>
        <v>1</v>
      </c>
      <c r="K57" s="32">
        <f>Source!O30</f>
        <v>3747.48</v>
      </c>
      <c r="Q57">
        <f>ROUND((Source!DN30/100)*ROUND(Source!CT30*Source!I30/IF(Source!BA30&lt;&gt;0,Source!BA30,1),2),2)</f>
        <v>0</v>
      </c>
      <c r="R57">
        <f>Source!X30</f>
        <v>0</v>
      </c>
      <c r="S57">
        <f>ROUND((Source!DO30/100)*ROUND(Source!CT30*Source!I30/IF(Source!BA30&lt;&gt;0,Source!BA30,1),2),2)</f>
        <v>0</v>
      </c>
      <c r="T57">
        <f>Source!Y30</f>
        <v>0</v>
      </c>
      <c r="U57">
        <f>ROUND((175/100)*ROUND(Source!CS30*Source!I30/IF(Source!BS30&lt;&gt;0,Source!BS30,1),2),2)</f>
        <v>0</v>
      </c>
      <c r="V57">
        <f>ROUND((180/100)*ROUND(Source!CS30*Source!I30,2),2)</f>
        <v>0</v>
      </c>
    </row>
    <row r="58" spans="1:11" ht="15.75">
      <c r="A58" s="26"/>
      <c r="B58" s="27"/>
      <c r="C58" s="25" t="s">
        <v>237</v>
      </c>
      <c r="D58" s="29" t="s">
        <v>238</v>
      </c>
      <c r="E58" s="28">
        <f>Source!DN29</f>
        <v>104</v>
      </c>
      <c r="F58" s="31"/>
      <c r="G58" s="30"/>
      <c r="H58" s="28"/>
      <c r="I58" s="32">
        <f>SUM(Q52:Q57)</f>
        <v>574.88</v>
      </c>
      <c r="J58" s="28">
        <f>Source!BZ29</f>
        <v>111</v>
      </c>
      <c r="K58" s="32">
        <f>SUM(R52:R57)</f>
        <v>613.57</v>
      </c>
    </row>
    <row r="59" spans="1:11" ht="15.75">
      <c r="A59" s="26"/>
      <c r="B59" s="27"/>
      <c r="C59" s="25" t="s">
        <v>239</v>
      </c>
      <c r="D59" s="29" t="s">
        <v>238</v>
      </c>
      <c r="E59" s="28">
        <f>Source!DO29</f>
        <v>79</v>
      </c>
      <c r="F59" s="31"/>
      <c r="G59" s="30"/>
      <c r="H59" s="28"/>
      <c r="I59" s="32">
        <f>SUM(S52:S58)</f>
        <v>436.69</v>
      </c>
      <c r="J59" s="28">
        <f>Source!CA29</f>
        <v>76</v>
      </c>
      <c r="K59" s="32">
        <f>SUM(T52:T58)</f>
        <v>420.11</v>
      </c>
    </row>
    <row r="60" spans="1:11" ht="15.75">
      <c r="A60" s="26"/>
      <c r="B60" s="27"/>
      <c r="C60" s="25" t="s">
        <v>240</v>
      </c>
      <c r="D60" s="29" t="s">
        <v>238</v>
      </c>
      <c r="E60" s="28">
        <f>175</f>
        <v>175</v>
      </c>
      <c r="F60" s="31"/>
      <c r="G60" s="30"/>
      <c r="H60" s="28"/>
      <c r="I60" s="32">
        <f>SUM(U52:U59)</f>
        <v>0.19</v>
      </c>
      <c r="J60" s="28">
        <f>180</f>
        <v>180</v>
      </c>
      <c r="K60" s="32">
        <f>SUM(V52:V59)</f>
        <v>0.2</v>
      </c>
    </row>
    <row r="61" spans="1:11" ht="15.75">
      <c r="A61" s="36"/>
      <c r="B61" s="37"/>
      <c r="C61" s="38" t="s">
        <v>241</v>
      </c>
      <c r="D61" s="39" t="s">
        <v>242</v>
      </c>
      <c r="E61" s="40">
        <f>Source!AQ29</f>
        <v>35.04</v>
      </c>
      <c r="F61" s="41"/>
      <c r="G61" s="42" t="str">
        <f>Source!DI29</f>
        <v>)*1.15</v>
      </c>
      <c r="H61" s="40"/>
      <c r="I61" s="43">
        <f>Source!U29</f>
        <v>43.801752</v>
      </c>
      <c r="J61" s="40"/>
      <c r="K61" s="43"/>
    </row>
    <row r="62" spans="8:27" ht="15.75">
      <c r="H62" s="35">
        <f>ROUND(Source!CQ29*Source!I29/IF(Source!BC29&lt;&gt;0,Source!BC29,1),2)+ROUND(Source!CT29*Source!I29/IF(Source!BA29&lt;&gt;0,Source!BA29,1),2)+ROUND(Source!CR29*Source!I29/IF(Source!BB29&lt;&gt;0,Source!BB29,1),2)+SUM(I57:I60)</f>
        <v>5968.0599999999995</v>
      </c>
      <c r="I62" s="35"/>
      <c r="J62" s="35">
        <f>Source!O29+SUM(K57:K60)</f>
        <v>5990.179999999999</v>
      </c>
      <c r="K62" s="35"/>
      <c r="O62" s="33">
        <f>H62</f>
        <v>5968.0599999999995</v>
      </c>
      <c r="P62" s="33">
        <f>J62</f>
        <v>5990.179999999999</v>
      </c>
      <c r="X62">
        <f>IF(Source!BI29&lt;=1,H62,0)</f>
        <v>5968.0599999999995</v>
      </c>
      <c r="Y62">
        <f>IF(Source!BI29=2,H62,0)</f>
        <v>0</v>
      </c>
      <c r="Z62">
        <f>IF(Source!BI29=3,H62,0)</f>
        <v>0</v>
      </c>
      <c r="AA62">
        <f>IF(Source!BI29=4,H62,0)</f>
        <v>0</v>
      </c>
    </row>
    <row r="63" spans="1:22" ht="78.75">
      <c r="A63" s="26" t="str">
        <f>Source!E31</f>
        <v>5</v>
      </c>
      <c r="B63" s="27" t="str">
        <f>Source!F31</f>
        <v>6.58-27-5</v>
      </c>
      <c r="C63" s="25" t="str">
        <f>Source!G31</f>
        <v>СМЕНА ВОРОНОК И ОТЛИВОВ ВОДОСТОЧНЫХ ТРУБ С ЛЕСТНИЦ ИЛИ ПОДМОСТЕЙ</v>
      </c>
      <c r="D63" s="29" t="str">
        <f>Source!H31</f>
        <v>10 шт.</v>
      </c>
      <c r="E63" s="28">
        <f>ROUND(Source!I31,6)</f>
        <v>1</v>
      </c>
      <c r="F63" s="31"/>
      <c r="G63" s="30"/>
      <c r="H63" s="28"/>
      <c r="I63" s="32"/>
      <c r="J63" s="28"/>
      <c r="K63" s="32"/>
      <c r="Q63">
        <f>ROUND((Source!DN31/100)*ROUND(Source!CT31*Source!I31/IF(Source!BA31&lt;&gt;0,Source!BA31,1),2),2)</f>
        <v>66.37</v>
      </c>
      <c r="R63">
        <f>Source!X31</f>
        <v>70.84</v>
      </c>
      <c r="S63">
        <f>ROUND((Source!DO31/100)*ROUND(Source!CT31*Source!I31/IF(Source!BA31&lt;&gt;0,Source!BA31,1),2),2)</f>
        <v>50.42</v>
      </c>
      <c r="T63">
        <f>Source!Y31</f>
        <v>48.5</v>
      </c>
      <c r="U63">
        <f>ROUND((175/100)*ROUND(Source!CS31*Source!I31/IF(Source!BS31&lt;&gt;0,Source!BS31,1),2),2)</f>
        <v>0</v>
      </c>
      <c r="V63">
        <f>ROUND((180/100)*ROUND(Source!CS31*Source!I31,2),2)</f>
        <v>0</v>
      </c>
    </row>
    <row r="64" spans="1:23" ht="15.75">
      <c r="A64" s="26"/>
      <c r="B64" s="27"/>
      <c r="C64" s="25" t="s">
        <v>233</v>
      </c>
      <c r="D64" s="29"/>
      <c r="E64" s="28"/>
      <c r="F64" s="31">
        <f>Source!AO31</f>
        <v>51.05</v>
      </c>
      <c r="G64" s="30" t="str">
        <f>Source!DG31</f>
        <v>)*1.15</v>
      </c>
      <c r="H64" s="28">
        <f>Source!AV31</f>
        <v>1.087</v>
      </c>
      <c r="I64" s="32">
        <f>ROUND(Source!CT31*Source!I31/IF(Source!BA31&lt;&gt;0,Source!BA31,1),2)</f>
        <v>63.82</v>
      </c>
      <c r="J64" s="28">
        <f>IF(Source!BA31&lt;&gt;0,Source!BA31,1)</f>
        <v>1</v>
      </c>
      <c r="K64" s="32">
        <f>Source!S31</f>
        <v>63.82</v>
      </c>
      <c r="W64">
        <f>ROUND(Source!CT31*Source!I31/IF(Source!BA31&lt;&gt;0,Source!BA31,1),2)</f>
        <v>63.82</v>
      </c>
    </row>
    <row r="65" spans="1:11" ht="15.75">
      <c r="A65" s="26"/>
      <c r="B65" s="27"/>
      <c r="C65" s="25" t="s">
        <v>234</v>
      </c>
      <c r="D65" s="29"/>
      <c r="E65" s="28"/>
      <c r="F65" s="31">
        <f>Source!AM31</f>
        <v>0.02</v>
      </c>
      <c r="G65" s="30" t="str">
        <f>Source!DE31</f>
        <v>)*1.15</v>
      </c>
      <c r="H65" s="28">
        <f>Source!AV31</f>
        <v>1.087</v>
      </c>
      <c r="I65" s="32">
        <f>ROUND(Source!CR31*Source!I31/IF(Source!BB31&lt;&gt;0,Source!BB31,1),2)</f>
        <v>0.03</v>
      </c>
      <c r="J65" s="28">
        <f>IF(Source!BB31&lt;&gt;0,Source!BB31,1)</f>
        <v>1</v>
      </c>
      <c r="K65" s="32">
        <f>Source!Q31</f>
        <v>0.03</v>
      </c>
    </row>
    <row r="66" spans="1:11" ht="15.75">
      <c r="A66" s="26"/>
      <c r="B66" s="27"/>
      <c r="C66" s="25" t="s">
        <v>236</v>
      </c>
      <c r="D66" s="29"/>
      <c r="E66" s="28"/>
      <c r="F66" s="31">
        <f>Source!AL31</f>
        <v>53.63</v>
      </c>
      <c r="G66" s="30">
        <f>Source!DD31</f>
      </c>
      <c r="H66" s="28">
        <f>Source!AW31</f>
        <v>1.001</v>
      </c>
      <c r="I66" s="32">
        <f>ROUND(Source!CQ31*Source!I31/IF(Source!BC31&lt;&gt;0,Source!BC31,1),2)</f>
        <v>53.68</v>
      </c>
      <c r="J66" s="28">
        <f>IF(Source!BC31&lt;&gt;0,Source!BC31,1)</f>
        <v>1</v>
      </c>
      <c r="K66" s="32">
        <f>Source!P31</f>
        <v>53.68</v>
      </c>
    </row>
    <row r="67" spans="1:22" ht="63">
      <c r="A67" s="26" t="str">
        <f>Source!E32</f>
        <v>5,1</v>
      </c>
      <c r="B67" s="27" t="str">
        <f>Source!F32</f>
        <v>1.1-1-1086</v>
      </c>
      <c r="C67" s="25" t="str">
        <f>Source!G32</f>
        <v>СТАЛЬ ЛИСТОВАЯ, ОЦИНКОВАННАЯ, ТОЛЩИНА 0,55-0,65 ММ</v>
      </c>
      <c r="D67" s="29" t="str">
        <f>Source!H32</f>
        <v>т</v>
      </c>
      <c r="E67" s="28">
        <f>ROUND(Source!I32,6)</f>
        <v>0.04</v>
      </c>
      <c r="F67" s="31">
        <f>IF(Source!AL32=0,Source!AK32,Source!AL32)</f>
        <v>14739.12</v>
      </c>
      <c r="G67" s="30">
        <f>Source!DD32</f>
      </c>
      <c r="H67" s="28"/>
      <c r="I67" s="32">
        <f>ROUND(Source!CQ32*Source!I32/IF(Source!BC32&lt;&gt;0,Source!BC32,1),2)+ROUND(Source!CR32*Source!I32/IF(Source!BB32&lt;&gt;0,Source!BB32,1),2)+ROUND(Source!CT32*Source!I32/IF(Source!BA32&lt;&gt;0,Source!BA32,1),2)</f>
        <v>590.15</v>
      </c>
      <c r="J67" s="28">
        <f>IF(Source!BC32&lt;&gt;0,Source!BC32,1)</f>
        <v>1</v>
      </c>
      <c r="K67" s="32">
        <f>Source!O32</f>
        <v>590.15</v>
      </c>
      <c r="Q67">
        <f>ROUND((Source!DN32/100)*ROUND(Source!CT32*Source!I32/IF(Source!BA32&lt;&gt;0,Source!BA32,1),2),2)</f>
        <v>0</v>
      </c>
      <c r="R67">
        <f>Source!X32</f>
        <v>0</v>
      </c>
      <c r="S67">
        <f>ROUND((Source!DO32/100)*ROUND(Source!CT32*Source!I32/IF(Source!BA32&lt;&gt;0,Source!BA32,1),2),2)</f>
        <v>0</v>
      </c>
      <c r="T67">
        <f>Source!Y32</f>
        <v>0</v>
      </c>
      <c r="U67">
        <f>ROUND((175/100)*ROUND(Source!CS32*Source!I32/IF(Source!BS32&lt;&gt;0,Source!BS32,1),2),2)</f>
        <v>0</v>
      </c>
      <c r="V67">
        <f>ROUND((180/100)*ROUND(Source!CS32*Source!I32,2),2)</f>
        <v>0</v>
      </c>
    </row>
    <row r="68" spans="1:11" ht="15.75">
      <c r="A68" s="26"/>
      <c r="B68" s="27"/>
      <c r="C68" s="25" t="s">
        <v>237</v>
      </c>
      <c r="D68" s="29" t="s">
        <v>238</v>
      </c>
      <c r="E68" s="28">
        <f>Source!DN31</f>
        <v>104</v>
      </c>
      <c r="F68" s="31"/>
      <c r="G68" s="30"/>
      <c r="H68" s="28"/>
      <c r="I68" s="32">
        <f>SUM(Q63:Q67)</f>
        <v>66.37</v>
      </c>
      <c r="J68" s="28">
        <f>Source!BZ31</f>
        <v>111</v>
      </c>
      <c r="K68" s="32">
        <f>SUM(R63:R67)</f>
        <v>70.84</v>
      </c>
    </row>
    <row r="69" spans="1:11" ht="15.75">
      <c r="A69" s="26"/>
      <c r="B69" s="27"/>
      <c r="C69" s="25" t="s">
        <v>239</v>
      </c>
      <c r="D69" s="29" t="s">
        <v>238</v>
      </c>
      <c r="E69" s="28">
        <f>Source!DO31</f>
        <v>79</v>
      </c>
      <c r="F69" s="31"/>
      <c r="G69" s="30"/>
      <c r="H69" s="28"/>
      <c r="I69" s="32">
        <f>SUM(S63:S68)</f>
        <v>50.42</v>
      </c>
      <c r="J69" s="28">
        <f>Source!CA31</f>
        <v>76</v>
      </c>
      <c r="K69" s="32">
        <f>SUM(T63:T68)</f>
        <v>48.5</v>
      </c>
    </row>
    <row r="70" spans="1:11" ht="15.75">
      <c r="A70" s="36"/>
      <c r="B70" s="37"/>
      <c r="C70" s="38" t="s">
        <v>241</v>
      </c>
      <c r="D70" s="39" t="s">
        <v>242</v>
      </c>
      <c r="E70" s="40">
        <f>Source!AQ31</f>
        <v>4.51</v>
      </c>
      <c r="F70" s="41"/>
      <c r="G70" s="42" t="str">
        <f>Source!DI31</f>
        <v>)*1.15</v>
      </c>
      <c r="H70" s="40"/>
      <c r="I70" s="43">
        <f>Source!U31</f>
        <v>5.637725499999999</v>
      </c>
      <c r="J70" s="40"/>
      <c r="K70" s="43"/>
    </row>
    <row r="71" spans="8:27" ht="15.75">
      <c r="H71" s="35">
        <f>ROUND(Source!CQ31*Source!I31/IF(Source!BC31&lt;&gt;0,Source!BC31,1),2)+ROUND(Source!CT31*Source!I31/IF(Source!BA31&lt;&gt;0,Source!BA31,1),2)+ROUND(Source!CR31*Source!I31/IF(Source!BB31&lt;&gt;0,Source!BB31,1),2)+SUM(I67:I69)</f>
        <v>824.4699999999999</v>
      </c>
      <c r="I71" s="35"/>
      <c r="J71" s="35">
        <f>Source!O31+SUM(K67:K69)</f>
        <v>827.02</v>
      </c>
      <c r="K71" s="35"/>
      <c r="O71" s="33">
        <f>H71</f>
        <v>824.4699999999999</v>
      </c>
      <c r="P71" s="33">
        <f>J71</f>
        <v>827.02</v>
      </c>
      <c r="X71">
        <f>IF(Source!BI31&lt;=1,H71,0)</f>
        <v>824.4699999999999</v>
      </c>
      <c r="Y71">
        <f>IF(Source!BI31=2,H71,0)</f>
        <v>0</v>
      </c>
      <c r="Z71">
        <f>IF(Source!BI31=3,H71,0)</f>
        <v>0</v>
      </c>
      <c r="AA71">
        <f>IF(Source!BI31=4,H71,0)</f>
        <v>0</v>
      </c>
    </row>
    <row r="72" spans="1:22" ht="63">
      <c r="A72" s="26" t="str">
        <f>Source!E33</f>
        <v>6</v>
      </c>
      <c r="B72" s="27" t="str">
        <f>Source!F33</f>
        <v>6.58-27-4</v>
      </c>
      <c r="C72" s="25" t="str">
        <f>Source!G33</f>
        <v>СМЕНА КОЛЕН ВОДОСТОЧНЫХ ТРУБ С ЛЕСТНИЦ ИЛИ ПОДМОСТЕЙ</v>
      </c>
      <c r="D72" s="29" t="str">
        <f>Source!H33</f>
        <v>10 шт.</v>
      </c>
      <c r="E72" s="28">
        <f>ROUND(Source!I33,6)</f>
        <v>1</v>
      </c>
      <c r="F72" s="31"/>
      <c r="G72" s="30"/>
      <c r="H72" s="28"/>
      <c r="I72" s="32"/>
      <c r="J72" s="28"/>
      <c r="K72" s="32"/>
      <c r="Q72">
        <f>ROUND((Source!DN33/100)*ROUND(Source!CT33*Source!I33/IF(Source!BA33&lt;&gt;0,Source!BA33,1),2),2)</f>
        <v>78.88</v>
      </c>
      <c r="R72">
        <f>Source!X33</f>
        <v>84.19</v>
      </c>
      <c r="S72">
        <f>ROUND((Source!DO33/100)*ROUND(Source!CT33*Source!I33/IF(Source!BA33&lt;&gt;0,Source!BA33,1),2),2)</f>
        <v>59.92</v>
      </c>
      <c r="T72">
        <f>Source!Y33</f>
        <v>57.65</v>
      </c>
      <c r="U72">
        <f>ROUND((175/100)*ROUND(Source!CS33*Source!I33/IF(Source!BS33&lt;&gt;0,Source!BS33,1),2),2)</f>
        <v>0</v>
      </c>
      <c r="V72">
        <f>ROUND((180/100)*ROUND(Source!CS33*Source!I33,2),2)</f>
        <v>0</v>
      </c>
    </row>
    <row r="73" spans="1:23" ht="15.75">
      <c r="A73" s="26"/>
      <c r="B73" s="27"/>
      <c r="C73" s="25" t="s">
        <v>233</v>
      </c>
      <c r="D73" s="29"/>
      <c r="E73" s="28"/>
      <c r="F73" s="31">
        <f>Source!AO33</f>
        <v>60.68</v>
      </c>
      <c r="G73" s="30" t="str">
        <f>Source!DG33</f>
        <v>)*1.15</v>
      </c>
      <c r="H73" s="28">
        <f>Source!AV33</f>
        <v>1.087</v>
      </c>
      <c r="I73" s="32">
        <f>ROUND(Source!CT33*Source!I33/IF(Source!BA33&lt;&gt;0,Source!BA33,1),2)</f>
        <v>75.85</v>
      </c>
      <c r="J73" s="28">
        <f>IF(Source!BA33&lt;&gt;0,Source!BA33,1)</f>
        <v>1</v>
      </c>
      <c r="K73" s="32">
        <f>Source!S33</f>
        <v>75.85</v>
      </c>
      <c r="W73">
        <f>ROUND(Source!CT33*Source!I33/IF(Source!BA33&lt;&gt;0,Source!BA33,1),2)</f>
        <v>75.85</v>
      </c>
    </row>
    <row r="74" spans="1:11" ht="15.75">
      <c r="A74" s="26"/>
      <c r="B74" s="27"/>
      <c r="C74" s="25" t="s">
        <v>234</v>
      </c>
      <c r="D74" s="29"/>
      <c r="E74" s="28"/>
      <c r="F74" s="31">
        <f>Source!AM33</f>
        <v>0.02</v>
      </c>
      <c r="G74" s="30" t="str">
        <f>Source!DE33</f>
        <v>)*1.15</v>
      </c>
      <c r="H74" s="28">
        <f>Source!AV33</f>
        <v>1.087</v>
      </c>
      <c r="I74" s="32">
        <f>ROUND(Source!CR33*Source!I33/IF(Source!BB33&lt;&gt;0,Source!BB33,1),2)</f>
        <v>0.03</v>
      </c>
      <c r="J74" s="28">
        <f>IF(Source!BB33&lt;&gt;0,Source!BB33,1)</f>
        <v>1</v>
      </c>
      <c r="K74" s="32">
        <f>Source!Q33</f>
        <v>0.03</v>
      </c>
    </row>
    <row r="75" spans="1:11" ht="15.75">
      <c r="A75" s="26"/>
      <c r="B75" s="27"/>
      <c r="C75" s="25" t="s">
        <v>236</v>
      </c>
      <c r="D75" s="29"/>
      <c r="E75" s="28"/>
      <c r="F75" s="31">
        <f>Source!AL33</f>
        <v>17.88</v>
      </c>
      <c r="G75" s="30">
        <f>Source!DD33</f>
      </c>
      <c r="H75" s="28">
        <f>Source!AW33</f>
        <v>1.001</v>
      </c>
      <c r="I75" s="32">
        <f>ROUND(Source!CQ33*Source!I33/IF(Source!BC33&lt;&gt;0,Source!BC33,1),2)</f>
        <v>17.9</v>
      </c>
      <c r="J75" s="28">
        <f>IF(Source!BC33&lt;&gt;0,Source!BC33,1)</f>
        <v>1</v>
      </c>
      <c r="K75" s="32">
        <f>Source!P33</f>
        <v>17.9</v>
      </c>
    </row>
    <row r="76" spans="1:22" ht="63">
      <c r="A76" s="26" t="str">
        <f>Source!E34</f>
        <v>6,1</v>
      </c>
      <c r="B76" s="27" t="str">
        <f>Source!F34</f>
        <v>1.1-1-1086</v>
      </c>
      <c r="C76" s="25" t="str">
        <f>Source!G34</f>
        <v>СТАЛЬ ЛИСТОВАЯ, ОЦИНКОВАННАЯ, ТОЛЩИНА 0,55-0,65 ММ</v>
      </c>
      <c r="D76" s="29" t="str">
        <f>Source!H34</f>
        <v>т</v>
      </c>
      <c r="E76" s="28">
        <f>ROUND(Source!I34,6)</f>
        <v>0.03</v>
      </c>
      <c r="F76" s="31">
        <f>IF(Source!AL34=0,Source!AK34,Source!AL34)</f>
        <v>14739.12</v>
      </c>
      <c r="G76" s="30">
        <f>Source!DD34</f>
      </c>
      <c r="H76" s="28"/>
      <c r="I76" s="32">
        <f>ROUND(Source!CQ34*Source!I34/IF(Source!BC34&lt;&gt;0,Source!BC34,1),2)+ROUND(Source!CR34*Source!I34/IF(Source!BB34&lt;&gt;0,Source!BB34,1),2)+ROUND(Source!CT34*Source!I34/IF(Source!BA34&lt;&gt;0,Source!BA34,1),2)</f>
        <v>442.62</v>
      </c>
      <c r="J76" s="28">
        <f>IF(Source!BC34&lt;&gt;0,Source!BC34,1)</f>
        <v>1</v>
      </c>
      <c r="K76" s="32">
        <f>Source!O34</f>
        <v>442.62</v>
      </c>
      <c r="Q76">
        <f>ROUND((Source!DN34/100)*ROUND(Source!CT34*Source!I34/IF(Source!BA34&lt;&gt;0,Source!BA34,1),2),2)</f>
        <v>0</v>
      </c>
      <c r="R76">
        <f>Source!X34</f>
        <v>0</v>
      </c>
      <c r="S76">
        <f>ROUND((Source!DO34/100)*ROUND(Source!CT34*Source!I34/IF(Source!BA34&lt;&gt;0,Source!BA34,1),2),2)</f>
        <v>0</v>
      </c>
      <c r="T76">
        <f>Source!Y34</f>
        <v>0</v>
      </c>
      <c r="U76">
        <f>ROUND((175/100)*ROUND(Source!CS34*Source!I34/IF(Source!BS34&lt;&gt;0,Source!BS34,1),2),2)</f>
        <v>0</v>
      </c>
      <c r="V76">
        <f>ROUND((180/100)*ROUND(Source!CS34*Source!I34,2),2)</f>
        <v>0</v>
      </c>
    </row>
    <row r="77" spans="1:11" ht="15.75">
      <c r="A77" s="26"/>
      <c r="B77" s="27"/>
      <c r="C77" s="25" t="s">
        <v>237</v>
      </c>
      <c r="D77" s="29" t="s">
        <v>238</v>
      </c>
      <c r="E77" s="28">
        <f>Source!DN33</f>
        <v>104</v>
      </c>
      <c r="F77" s="31"/>
      <c r="G77" s="30"/>
      <c r="H77" s="28"/>
      <c r="I77" s="32">
        <f>SUM(Q72:Q76)</f>
        <v>78.88</v>
      </c>
      <c r="J77" s="28">
        <f>Source!BZ33</f>
        <v>111</v>
      </c>
      <c r="K77" s="32">
        <f>SUM(R72:R76)</f>
        <v>84.19</v>
      </c>
    </row>
    <row r="78" spans="1:11" ht="15.75">
      <c r="A78" s="26"/>
      <c r="B78" s="27"/>
      <c r="C78" s="25" t="s">
        <v>239</v>
      </c>
      <c r="D78" s="29" t="s">
        <v>238</v>
      </c>
      <c r="E78" s="28">
        <f>Source!DO33</f>
        <v>79</v>
      </c>
      <c r="F78" s="31"/>
      <c r="G78" s="30"/>
      <c r="H78" s="28"/>
      <c r="I78" s="32">
        <f>SUM(S72:S77)</f>
        <v>59.92</v>
      </c>
      <c r="J78" s="28">
        <f>Source!CA33</f>
        <v>76</v>
      </c>
      <c r="K78" s="32">
        <f>SUM(T72:T77)</f>
        <v>57.65</v>
      </c>
    </row>
    <row r="79" spans="1:11" ht="15.75">
      <c r="A79" s="36"/>
      <c r="B79" s="37"/>
      <c r="C79" s="38" t="s">
        <v>241</v>
      </c>
      <c r="D79" s="39" t="s">
        <v>242</v>
      </c>
      <c r="E79" s="40">
        <f>Source!AQ33</f>
        <v>5.36</v>
      </c>
      <c r="F79" s="41"/>
      <c r="G79" s="42" t="str">
        <f>Source!DI33</f>
        <v>)*1.15</v>
      </c>
      <c r="H79" s="40"/>
      <c r="I79" s="43">
        <f>Source!U33</f>
        <v>6.7002679999999994</v>
      </c>
      <c r="J79" s="40"/>
      <c r="K79" s="43"/>
    </row>
    <row r="80" spans="8:27" ht="15.75">
      <c r="H80" s="35">
        <f>ROUND(Source!CQ33*Source!I33/IF(Source!BC33&lt;&gt;0,Source!BC33,1),2)+ROUND(Source!CT33*Source!I33/IF(Source!BA33&lt;&gt;0,Source!BA33,1),2)+ROUND(Source!CR33*Source!I33/IF(Source!BB33&lt;&gt;0,Source!BB33,1),2)+SUM(I76:I78)</f>
        <v>675.1999999999999</v>
      </c>
      <c r="I80" s="35"/>
      <c r="J80" s="35">
        <f>Source!O33+SUM(K76:K78)</f>
        <v>678.2399999999999</v>
      </c>
      <c r="K80" s="35"/>
      <c r="O80" s="33">
        <f>H80</f>
        <v>675.1999999999999</v>
      </c>
      <c r="P80" s="33">
        <f>J80</f>
        <v>678.2399999999999</v>
      </c>
      <c r="X80">
        <f>IF(Source!BI33&lt;=1,H80,0)</f>
        <v>675.1999999999999</v>
      </c>
      <c r="Y80">
        <f>IF(Source!BI33=2,H80,0)</f>
        <v>0</v>
      </c>
      <c r="Z80">
        <f>IF(Source!BI33=3,H80,0)</f>
        <v>0</v>
      </c>
      <c r="AA80">
        <f>IF(Source!BI33=4,H80,0)</f>
        <v>0</v>
      </c>
    </row>
    <row r="81" spans="1:22" ht="78.75">
      <c r="A81" s="26" t="str">
        <f>Source!E35</f>
        <v>7</v>
      </c>
      <c r="B81" s="27" t="str">
        <f>Source!F35</f>
        <v>6.58-27-5</v>
      </c>
      <c r="C81" s="25" t="str">
        <f>Source!G35</f>
        <v>СМЕНА ВОРОНОК И ОТЛИВОВ ВОДОСТОЧНЫХ ТРУБ С ЛЕСТНИЦ ИЛИ ПОДМОСТЕЙ</v>
      </c>
      <c r="D81" s="29" t="str">
        <f>Source!H35</f>
        <v>10 шт.</v>
      </c>
      <c r="E81" s="28">
        <f>ROUND(Source!I35,6)</f>
        <v>1</v>
      </c>
      <c r="F81" s="31"/>
      <c r="G81" s="30"/>
      <c r="H81" s="28"/>
      <c r="I81" s="32"/>
      <c r="J81" s="28"/>
      <c r="K81" s="32"/>
      <c r="Q81">
        <f>ROUND((Source!DN35/100)*ROUND(Source!CT35*Source!I35/IF(Source!BA35&lt;&gt;0,Source!BA35,1),2),2)</f>
        <v>66.37</v>
      </c>
      <c r="R81">
        <f>Source!X35</f>
        <v>70.84</v>
      </c>
      <c r="S81">
        <f>ROUND((Source!DO35/100)*ROUND(Source!CT35*Source!I35/IF(Source!BA35&lt;&gt;0,Source!BA35,1),2),2)</f>
        <v>50.42</v>
      </c>
      <c r="T81">
        <f>Source!Y35</f>
        <v>48.5</v>
      </c>
      <c r="U81">
        <f>ROUND((175/100)*ROUND(Source!CS35*Source!I35/IF(Source!BS35&lt;&gt;0,Source!BS35,1),2),2)</f>
        <v>0</v>
      </c>
      <c r="V81">
        <f>ROUND((180/100)*ROUND(Source!CS35*Source!I35,2),2)</f>
        <v>0</v>
      </c>
    </row>
    <row r="82" spans="1:23" ht="15.75">
      <c r="A82" s="26"/>
      <c r="B82" s="27"/>
      <c r="C82" s="25" t="s">
        <v>233</v>
      </c>
      <c r="D82" s="29"/>
      <c r="E82" s="28"/>
      <c r="F82" s="31">
        <f>Source!AO35</f>
        <v>51.05</v>
      </c>
      <c r="G82" s="30" t="str">
        <f>Source!DG35</f>
        <v>)*1.15</v>
      </c>
      <c r="H82" s="28">
        <f>Source!AV35</f>
        <v>1.087</v>
      </c>
      <c r="I82" s="32">
        <f>ROUND(Source!CT35*Source!I35/IF(Source!BA35&lt;&gt;0,Source!BA35,1),2)</f>
        <v>63.82</v>
      </c>
      <c r="J82" s="28">
        <f>IF(Source!BA35&lt;&gt;0,Source!BA35,1)</f>
        <v>1</v>
      </c>
      <c r="K82" s="32">
        <f>Source!S35</f>
        <v>63.82</v>
      </c>
      <c r="W82">
        <f>ROUND(Source!CT35*Source!I35/IF(Source!BA35&lt;&gt;0,Source!BA35,1),2)</f>
        <v>63.82</v>
      </c>
    </row>
    <row r="83" spans="1:11" ht="15.75">
      <c r="A83" s="26"/>
      <c r="B83" s="27"/>
      <c r="C83" s="25" t="s">
        <v>234</v>
      </c>
      <c r="D83" s="29"/>
      <c r="E83" s="28"/>
      <c r="F83" s="31">
        <f>Source!AM35</f>
        <v>0.02</v>
      </c>
      <c r="G83" s="30" t="str">
        <f>Source!DE35</f>
        <v>)*1.15</v>
      </c>
      <c r="H83" s="28">
        <f>Source!AV35</f>
        <v>1.087</v>
      </c>
      <c r="I83" s="32">
        <f>ROUND(Source!CR35*Source!I35/IF(Source!BB35&lt;&gt;0,Source!BB35,1),2)</f>
        <v>0.03</v>
      </c>
      <c r="J83" s="28">
        <f>IF(Source!BB35&lt;&gt;0,Source!BB35,1)</f>
        <v>1</v>
      </c>
      <c r="K83" s="32">
        <f>Source!Q35</f>
        <v>0.03</v>
      </c>
    </row>
    <row r="84" spans="1:11" ht="15.75">
      <c r="A84" s="26"/>
      <c r="B84" s="27"/>
      <c r="C84" s="25" t="s">
        <v>236</v>
      </c>
      <c r="D84" s="29"/>
      <c r="E84" s="28"/>
      <c r="F84" s="31">
        <f>Source!AL35</f>
        <v>53.63</v>
      </c>
      <c r="G84" s="30">
        <f>Source!DD35</f>
      </c>
      <c r="H84" s="28">
        <f>Source!AW35</f>
        <v>1.001</v>
      </c>
      <c r="I84" s="32">
        <f>ROUND(Source!CQ35*Source!I35/IF(Source!BC35&lt;&gt;0,Source!BC35,1),2)</f>
        <v>53.68</v>
      </c>
      <c r="J84" s="28">
        <f>IF(Source!BC35&lt;&gt;0,Source!BC35,1)</f>
        <v>1</v>
      </c>
      <c r="K84" s="32">
        <f>Source!P35</f>
        <v>53.68</v>
      </c>
    </row>
    <row r="85" spans="1:22" ht="63">
      <c r="A85" s="26" t="str">
        <f>Source!E36</f>
        <v>7,1</v>
      </c>
      <c r="B85" s="27" t="str">
        <f>Source!F36</f>
        <v>1.1-1-1086</v>
      </c>
      <c r="C85" s="25" t="str">
        <f>Source!G36</f>
        <v>СТАЛЬ ЛИСТОВАЯ, ОЦИНКОВАННАЯ, ТОЛЩИНА 0,55-0,65 ММ</v>
      </c>
      <c r="D85" s="29" t="str">
        <f>Source!H36</f>
        <v>т</v>
      </c>
      <c r="E85" s="28">
        <f>ROUND(Source!I36,6)</f>
        <v>0.04</v>
      </c>
      <c r="F85" s="31">
        <f>IF(Source!AL36=0,Source!AK36,Source!AL36)</f>
        <v>14739.12</v>
      </c>
      <c r="G85" s="30">
        <f>Source!DD36</f>
      </c>
      <c r="H85" s="28"/>
      <c r="I85" s="32">
        <f>ROUND(Source!CQ36*Source!I36/IF(Source!BC36&lt;&gt;0,Source!BC36,1),2)+ROUND(Source!CR36*Source!I36/IF(Source!BB36&lt;&gt;0,Source!BB36,1),2)+ROUND(Source!CT36*Source!I36/IF(Source!BA36&lt;&gt;0,Source!BA36,1),2)</f>
        <v>590.15</v>
      </c>
      <c r="J85" s="28">
        <f>IF(Source!BC36&lt;&gt;0,Source!BC36,1)</f>
        <v>1</v>
      </c>
      <c r="K85" s="32">
        <f>Source!O36</f>
        <v>590.15</v>
      </c>
      <c r="Q85">
        <f>ROUND((Source!DN36/100)*ROUND(Source!CT36*Source!I36/IF(Source!BA36&lt;&gt;0,Source!BA36,1),2),2)</f>
        <v>0</v>
      </c>
      <c r="R85">
        <f>Source!X36</f>
        <v>0</v>
      </c>
      <c r="S85">
        <f>ROUND((Source!DO36/100)*ROUND(Source!CT36*Source!I36/IF(Source!BA36&lt;&gt;0,Source!BA36,1),2),2)</f>
        <v>0</v>
      </c>
      <c r="T85">
        <f>Source!Y36</f>
        <v>0</v>
      </c>
      <c r="U85">
        <f>ROUND((175/100)*ROUND(Source!CS36*Source!I36/IF(Source!BS36&lt;&gt;0,Source!BS36,1),2),2)</f>
        <v>0</v>
      </c>
      <c r="V85">
        <f>ROUND((180/100)*ROUND(Source!CS36*Source!I36,2),2)</f>
        <v>0</v>
      </c>
    </row>
    <row r="86" spans="1:11" ht="15.75">
      <c r="A86" s="26"/>
      <c r="B86" s="27"/>
      <c r="C86" s="25" t="s">
        <v>237</v>
      </c>
      <c r="D86" s="29" t="s">
        <v>238</v>
      </c>
      <c r="E86" s="28">
        <f>Source!DN35</f>
        <v>104</v>
      </c>
      <c r="F86" s="31"/>
      <c r="G86" s="30"/>
      <c r="H86" s="28"/>
      <c r="I86" s="32">
        <f>SUM(Q81:Q85)</f>
        <v>66.37</v>
      </c>
      <c r="J86" s="28">
        <f>Source!BZ35</f>
        <v>111</v>
      </c>
      <c r="K86" s="32">
        <f>SUM(R81:R85)</f>
        <v>70.84</v>
      </c>
    </row>
    <row r="87" spans="1:11" ht="15.75">
      <c r="A87" s="26"/>
      <c r="B87" s="27"/>
      <c r="C87" s="25" t="s">
        <v>239</v>
      </c>
      <c r="D87" s="29" t="s">
        <v>238</v>
      </c>
      <c r="E87" s="28">
        <f>Source!DO35</f>
        <v>79</v>
      </c>
      <c r="F87" s="31"/>
      <c r="G87" s="30"/>
      <c r="H87" s="28"/>
      <c r="I87" s="32">
        <f>SUM(S81:S86)</f>
        <v>50.42</v>
      </c>
      <c r="J87" s="28">
        <f>Source!CA35</f>
        <v>76</v>
      </c>
      <c r="K87" s="32">
        <f>SUM(T81:T86)</f>
        <v>48.5</v>
      </c>
    </row>
    <row r="88" spans="1:11" ht="15.75">
      <c r="A88" s="36"/>
      <c r="B88" s="37"/>
      <c r="C88" s="38" t="s">
        <v>241</v>
      </c>
      <c r="D88" s="39" t="s">
        <v>242</v>
      </c>
      <c r="E88" s="40">
        <f>Source!AQ35</f>
        <v>4.51</v>
      </c>
      <c r="F88" s="41"/>
      <c r="G88" s="42" t="str">
        <f>Source!DI35</f>
        <v>)*1.15</v>
      </c>
      <c r="H88" s="40"/>
      <c r="I88" s="43">
        <f>Source!U35</f>
        <v>5.637725499999999</v>
      </c>
      <c r="J88" s="40"/>
      <c r="K88" s="43"/>
    </row>
    <row r="89" spans="8:27" ht="15.75">
      <c r="H89" s="35">
        <f>ROUND(Source!CQ35*Source!I35/IF(Source!BC35&lt;&gt;0,Source!BC35,1),2)+ROUND(Source!CT35*Source!I35/IF(Source!BA35&lt;&gt;0,Source!BA35,1),2)+ROUND(Source!CR35*Source!I35/IF(Source!BB35&lt;&gt;0,Source!BB35,1),2)+SUM(I85:I87)</f>
        <v>824.4699999999999</v>
      </c>
      <c r="I89" s="35"/>
      <c r="J89" s="35">
        <f>Source!O35+SUM(K85:K87)</f>
        <v>827.02</v>
      </c>
      <c r="K89" s="35"/>
      <c r="O89" s="33">
        <f>H89</f>
        <v>824.4699999999999</v>
      </c>
      <c r="P89" s="33">
        <f>J89</f>
        <v>827.02</v>
      </c>
      <c r="X89">
        <f>IF(Source!BI35&lt;=1,H89,0)</f>
        <v>824.4699999999999</v>
      </c>
      <c r="Y89">
        <f>IF(Source!BI35=2,H89,0)</f>
        <v>0</v>
      </c>
      <c r="Z89">
        <f>IF(Source!BI35=3,H89,0)</f>
        <v>0</v>
      </c>
      <c r="AA89">
        <f>IF(Source!BI35=4,H89,0)</f>
        <v>0</v>
      </c>
    </row>
    <row r="90" spans="1:22" ht="78.75">
      <c r="A90" s="26" t="str">
        <f>Source!E37</f>
        <v>8</v>
      </c>
      <c r="B90" s="27" t="str">
        <f>Source!F37</f>
        <v>6.58-27-6</v>
      </c>
      <c r="C90" s="25" t="str">
        <f>Source!G37</f>
        <v>СМЕНА УХВАТОВ ВОДОСТОЧНЫХ ТРУБ С ЛЕСТНИЦ ИЛИ ПОДМОСТЕЙ В КАМЕННЫХ ЗДАНИЯХ</v>
      </c>
      <c r="D90" s="29" t="str">
        <f>Source!H37</f>
        <v>10 шт.</v>
      </c>
      <c r="E90" s="28">
        <f>ROUND(Source!I37,6)</f>
        <v>1</v>
      </c>
      <c r="F90" s="31"/>
      <c r="G90" s="30"/>
      <c r="H90" s="28"/>
      <c r="I90" s="32"/>
      <c r="J90" s="28"/>
      <c r="K90" s="32"/>
      <c r="Q90">
        <f>ROUND((Source!DN37/100)*ROUND(Source!CT37*Source!I37/IF(Source!BA37&lt;&gt;0,Source!BA37,1),2),2)</f>
        <v>52.58</v>
      </c>
      <c r="R90">
        <f>Source!X37</f>
        <v>56.12</v>
      </c>
      <c r="S90">
        <f>ROUND((Source!DO37/100)*ROUND(Source!CT37*Source!I37/IF(Source!BA37&lt;&gt;0,Source!BA37,1),2),2)</f>
        <v>39.94</v>
      </c>
      <c r="T90">
        <f>Source!Y37</f>
        <v>38.43</v>
      </c>
      <c r="U90">
        <f>ROUND((175/100)*ROUND(Source!CS37*Source!I37/IF(Source!BS37&lt;&gt;0,Source!BS37,1),2),2)</f>
        <v>0</v>
      </c>
      <c r="V90">
        <f>ROUND((180/100)*ROUND(Source!CS37*Source!I37,2),2)</f>
        <v>0</v>
      </c>
    </row>
    <row r="91" spans="1:23" ht="15.75">
      <c r="A91" s="26"/>
      <c r="B91" s="27"/>
      <c r="C91" s="25" t="s">
        <v>233</v>
      </c>
      <c r="D91" s="29"/>
      <c r="E91" s="28"/>
      <c r="F91" s="31">
        <f>Source!AO37</f>
        <v>40.45</v>
      </c>
      <c r="G91" s="30" t="str">
        <f>Source!DG37</f>
        <v>)*1.15</v>
      </c>
      <c r="H91" s="28">
        <f>Source!AV37</f>
        <v>1.087</v>
      </c>
      <c r="I91" s="32">
        <f>ROUND(Source!CT37*Source!I37/IF(Source!BA37&lt;&gt;0,Source!BA37,1),2)</f>
        <v>50.56</v>
      </c>
      <c r="J91" s="28">
        <f>IF(Source!BA37&lt;&gt;0,Source!BA37,1)</f>
        <v>1</v>
      </c>
      <c r="K91" s="32">
        <f>Source!S37</f>
        <v>50.56</v>
      </c>
      <c r="W91">
        <f>ROUND(Source!CT37*Source!I37/IF(Source!BA37&lt;&gt;0,Source!BA37,1),2)</f>
        <v>50.56</v>
      </c>
    </row>
    <row r="92" spans="1:11" ht="15.75">
      <c r="A92" s="26"/>
      <c r="B92" s="27"/>
      <c r="C92" s="25" t="s">
        <v>234</v>
      </c>
      <c r="D92" s="29"/>
      <c r="E92" s="28"/>
      <c r="F92" s="31">
        <f>Source!AM37</f>
        <v>0.02</v>
      </c>
      <c r="G92" s="30" t="str">
        <f>Source!DE37</f>
        <v>)*1.15</v>
      </c>
      <c r="H92" s="28">
        <f>Source!AV37</f>
        <v>1.087</v>
      </c>
      <c r="I92" s="32">
        <f>ROUND(Source!CR37*Source!I37/IF(Source!BB37&lt;&gt;0,Source!BB37,1),2)</f>
        <v>0.03</v>
      </c>
      <c r="J92" s="28">
        <f>IF(Source!BB37&lt;&gt;0,Source!BB37,1)</f>
        <v>1</v>
      </c>
      <c r="K92" s="32">
        <f>Source!Q37</f>
        <v>0.03</v>
      </c>
    </row>
    <row r="93" spans="1:11" ht="15.75">
      <c r="A93" s="26"/>
      <c r="B93" s="27"/>
      <c r="C93" s="25" t="s">
        <v>236</v>
      </c>
      <c r="D93" s="29"/>
      <c r="E93" s="28"/>
      <c r="F93" s="31">
        <f>Source!AL37</f>
        <v>53.59</v>
      </c>
      <c r="G93" s="30">
        <f>Source!DD37</f>
      </c>
      <c r="H93" s="28">
        <f>Source!AW37</f>
        <v>1.001</v>
      </c>
      <c r="I93" s="32">
        <f>ROUND(Source!CQ37*Source!I37/IF(Source!BC37&lt;&gt;0,Source!BC37,1),2)</f>
        <v>53.64</v>
      </c>
      <c r="J93" s="28">
        <f>IF(Source!BC37&lt;&gt;0,Source!BC37,1)</f>
        <v>1</v>
      </c>
      <c r="K93" s="32">
        <f>Source!P37</f>
        <v>53.64</v>
      </c>
    </row>
    <row r="94" spans="1:11" ht="15.75">
      <c r="A94" s="26"/>
      <c r="B94" s="27"/>
      <c r="C94" s="25" t="s">
        <v>237</v>
      </c>
      <c r="D94" s="29" t="s">
        <v>238</v>
      </c>
      <c r="E94" s="28">
        <f>Source!DN37</f>
        <v>104</v>
      </c>
      <c r="F94" s="31"/>
      <c r="G94" s="30"/>
      <c r="H94" s="28"/>
      <c r="I94" s="32">
        <f>SUM(Q90:Q93)</f>
        <v>52.58</v>
      </c>
      <c r="J94" s="28">
        <f>Source!BZ37</f>
        <v>111</v>
      </c>
      <c r="K94" s="32">
        <f>SUM(R90:R93)</f>
        <v>56.12</v>
      </c>
    </row>
    <row r="95" spans="1:11" ht="15.75">
      <c r="A95" s="26"/>
      <c r="B95" s="27"/>
      <c r="C95" s="25" t="s">
        <v>239</v>
      </c>
      <c r="D95" s="29" t="s">
        <v>238</v>
      </c>
      <c r="E95" s="28">
        <f>Source!DO37</f>
        <v>79</v>
      </c>
      <c r="F95" s="31"/>
      <c r="G95" s="30"/>
      <c r="H95" s="28"/>
      <c r="I95" s="32">
        <f>SUM(S90:S94)</f>
        <v>39.94</v>
      </c>
      <c r="J95" s="28">
        <f>Source!CA37</f>
        <v>76</v>
      </c>
      <c r="K95" s="32">
        <f>SUM(T90:T94)</f>
        <v>38.43</v>
      </c>
    </row>
    <row r="96" spans="1:11" ht="15.75">
      <c r="A96" s="36"/>
      <c r="B96" s="37"/>
      <c r="C96" s="38" t="s">
        <v>241</v>
      </c>
      <c r="D96" s="39" t="s">
        <v>242</v>
      </c>
      <c r="E96" s="40">
        <f>Source!AQ37</f>
        <v>3.78</v>
      </c>
      <c r="F96" s="41"/>
      <c r="G96" s="42" t="str">
        <f>Source!DI37</f>
        <v>)*1.15</v>
      </c>
      <c r="H96" s="40"/>
      <c r="I96" s="43">
        <f>Source!U37</f>
        <v>4.725188999999999</v>
      </c>
      <c r="J96" s="40"/>
      <c r="K96" s="43"/>
    </row>
    <row r="97" spans="8:27" ht="15.75">
      <c r="H97" s="35">
        <f>ROUND(Source!CQ37*Source!I37/IF(Source!BC37&lt;&gt;0,Source!BC37,1),2)+ROUND(Source!CT37*Source!I37/IF(Source!BA37&lt;&gt;0,Source!BA37,1),2)+ROUND(Source!CR37*Source!I37/IF(Source!BB37&lt;&gt;0,Source!BB37,1),2)+SUM(I94:I95)</f>
        <v>196.75</v>
      </c>
      <c r="I97" s="35"/>
      <c r="J97" s="35">
        <f>Source!O37+SUM(K94:K95)</f>
        <v>198.78</v>
      </c>
      <c r="K97" s="35"/>
      <c r="O97" s="33">
        <f>H97</f>
        <v>196.75</v>
      </c>
      <c r="P97" s="33">
        <f>J97</f>
        <v>198.78</v>
      </c>
      <c r="X97">
        <f>IF(Source!BI37&lt;=1,H97,0)</f>
        <v>196.75</v>
      </c>
      <c r="Y97">
        <f>IF(Source!BI37=2,H97,0)</f>
        <v>0</v>
      </c>
      <c r="Z97">
        <f>IF(Source!BI37=3,H97,0)</f>
        <v>0</v>
      </c>
      <c r="AA97">
        <f>IF(Source!BI37=4,H97,0)</f>
        <v>0</v>
      </c>
    </row>
    <row r="98" spans="1:22" ht="78.75">
      <c r="A98" s="26" t="str">
        <f>Source!E38</f>
        <v>9</v>
      </c>
      <c r="B98" s="27" t="str">
        <f>Source!F38</f>
        <v>3.10-47-1</v>
      </c>
      <c r="C98" s="25" t="str">
        <f>Source!G38</f>
        <v>ОГНЕЗАЩИТА ОБРЕШЕТКИ ПОД КРОВЛЮ, ПОКРЫТИЯ И НАСТИЛЫ ПО ФЕРМАМ</v>
      </c>
      <c r="D98" s="29" t="str">
        <f>Source!H38</f>
        <v>1000 м2</v>
      </c>
      <c r="E98" s="28">
        <f>ROUND(Source!I38,6)</f>
        <v>1</v>
      </c>
      <c r="F98" s="31"/>
      <c r="G98" s="30"/>
      <c r="H98" s="28"/>
      <c r="I98" s="32"/>
      <c r="J98" s="28"/>
      <c r="K98" s="32"/>
      <c r="Q98">
        <f>ROUND((Source!DN38/100)*ROUND(Source!CT38*Source!I38/IF(Source!BA38&lt;&gt;0,Source!BA38,1),2),2)</f>
        <v>552.7</v>
      </c>
      <c r="R98">
        <f>Source!X38</f>
        <v>515.85</v>
      </c>
      <c r="S98">
        <f>ROUND((Source!DO38/100)*ROUND(Source!CT38*Source!I38/IF(Source!BA38&lt;&gt;0,Source!BA38,1),2),2)</f>
        <v>386.89</v>
      </c>
      <c r="T98">
        <f>Source!Y38</f>
        <v>308.59</v>
      </c>
      <c r="U98">
        <f>ROUND((175/100)*ROUND(Source!CS38*Source!I38/IF(Source!BS38&lt;&gt;0,Source!BS38,1),2),2)</f>
        <v>34.46</v>
      </c>
      <c r="V98">
        <f>ROUND((180/100)*ROUND(Source!CS38*Source!I38,2),2)</f>
        <v>35.44</v>
      </c>
    </row>
    <row r="99" spans="1:23" ht="31.5">
      <c r="A99" s="26"/>
      <c r="B99" s="27"/>
      <c r="C99" s="25" t="s">
        <v>233</v>
      </c>
      <c r="D99" s="29"/>
      <c r="E99" s="28"/>
      <c r="F99" s="31">
        <f>Source!AO38</f>
        <v>332.63</v>
      </c>
      <c r="G99" s="30" t="str">
        <f>Source!DG38</f>
        <v>)*1.15)*1.15</v>
      </c>
      <c r="H99" s="28">
        <f>Source!AV38</f>
        <v>1.047</v>
      </c>
      <c r="I99" s="32">
        <f>ROUND(Source!CT38*Source!I38/IF(Source!BA38&lt;&gt;0,Source!BA38,1),2)</f>
        <v>460.58</v>
      </c>
      <c r="J99" s="28">
        <f>IF(Source!BA38&lt;&gt;0,Source!BA38,1)</f>
        <v>1</v>
      </c>
      <c r="K99" s="32">
        <f>Source!S38</f>
        <v>460.58</v>
      </c>
      <c r="W99">
        <f>ROUND(Source!CT38*Source!I38/IF(Source!BA38&lt;&gt;0,Source!BA38,1),2)</f>
        <v>460.58</v>
      </c>
    </row>
    <row r="100" spans="1:11" ht="31.5">
      <c r="A100" s="26"/>
      <c r="B100" s="27"/>
      <c r="C100" s="25" t="s">
        <v>234</v>
      </c>
      <c r="D100" s="29"/>
      <c r="E100" s="28"/>
      <c r="F100" s="31">
        <f>Source!AM38</f>
        <v>71.86</v>
      </c>
      <c r="G100" s="30" t="str">
        <f>Source!DE38</f>
        <v>)*1.15)*1.25</v>
      </c>
      <c r="H100" s="28">
        <f>Source!AV38</f>
        <v>1.047</v>
      </c>
      <c r="I100" s="32">
        <f>ROUND(Source!CR38*Source!I38/IF(Source!BB38&lt;&gt;0,Source!BB38,1),2)</f>
        <v>108.15</v>
      </c>
      <c r="J100" s="28">
        <f>IF(Source!BB38&lt;&gt;0,Source!BB38,1)</f>
        <v>1</v>
      </c>
      <c r="K100" s="32">
        <f>Source!Q38</f>
        <v>108.15</v>
      </c>
    </row>
    <row r="101" spans="1:23" ht="31.5">
      <c r="A101" s="26"/>
      <c r="B101" s="27"/>
      <c r="C101" s="25" t="s">
        <v>235</v>
      </c>
      <c r="D101" s="29"/>
      <c r="E101" s="28"/>
      <c r="F101" s="31">
        <f>Source!AN38</f>
        <v>13.08</v>
      </c>
      <c r="G101" s="30" t="str">
        <f>Source!DF38</f>
        <v>)*1.15)*1.25</v>
      </c>
      <c r="H101" s="28">
        <f>Source!AV38</f>
        <v>1.047</v>
      </c>
      <c r="I101" s="32">
        <f>ROUND(Source!CS38*Source!I38/IF(Source!BS38&lt;&gt;0,Source!BS38,1),2)</f>
        <v>19.69</v>
      </c>
      <c r="J101" s="28">
        <f>IF(Source!BS38&lt;&gt;0,Source!BS38,1)</f>
        <v>1</v>
      </c>
      <c r="K101" s="32">
        <f>Source!R38</f>
        <v>19.69</v>
      </c>
      <c r="W101">
        <f>ROUND(Source!CS38*Source!I38/IF(Source!BS38&lt;&gt;0,Source!BS38,1),2)</f>
        <v>19.69</v>
      </c>
    </row>
    <row r="102" spans="1:11" ht="15.75">
      <c r="A102" s="26"/>
      <c r="B102" s="27"/>
      <c r="C102" s="25" t="s">
        <v>236</v>
      </c>
      <c r="D102" s="29"/>
      <c r="E102" s="28"/>
      <c r="F102" s="31">
        <f>Source!AL38</f>
        <v>16.52</v>
      </c>
      <c r="G102" s="30">
        <f>Source!DD38</f>
      </c>
      <c r="H102" s="28">
        <f>Source!AW38</f>
        <v>1</v>
      </c>
      <c r="I102" s="32">
        <f>ROUND(Source!CQ38*Source!I38/IF(Source!BC38&lt;&gt;0,Source!BC38,1),2)</f>
        <v>16.52</v>
      </c>
      <c r="J102" s="28">
        <f>IF(Source!BC38&lt;&gt;0,Source!BC38,1)</f>
        <v>1</v>
      </c>
      <c r="K102" s="32">
        <f>Source!P38</f>
        <v>16.52</v>
      </c>
    </row>
    <row r="103" spans="1:22" ht="31.5">
      <c r="A103" s="26" t="str">
        <f>Source!E39</f>
        <v>9,1</v>
      </c>
      <c r="B103" s="27" t="str">
        <f>Source!F39</f>
        <v>1.1-1-349</v>
      </c>
      <c r="C103" s="25" t="str">
        <f>Source!G39</f>
        <v>КЕРОСИНОВЫЙ КОНТАКТ</v>
      </c>
      <c r="D103" s="29" t="str">
        <f>Source!H39</f>
        <v>т</v>
      </c>
      <c r="E103" s="28">
        <f>ROUND(Source!I39,6)</f>
        <v>0.04</v>
      </c>
      <c r="F103" s="31">
        <f>IF(Source!AL39=0,Source!AK39,Source!AL39)</f>
        <v>7438.24</v>
      </c>
      <c r="G103" s="30">
        <f>Source!DD39</f>
      </c>
      <c r="H103" s="28"/>
      <c r="I103" s="32">
        <f>ROUND(Source!CQ39*Source!I39/IF(Source!BC39&lt;&gt;0,Source!BC39,1),2)+ROUND(Source!CR39*Source!I39/IF(Source!BB39&lt;&gt;0,Source!BB39,1),2)+ROUND(Source!CT39*Source!I39/IF(Source!BA39&lt;&gt;0,Source!BA39,1),2)</f>
        <v>297.53</v>
      </c>
      <c r="J103" s="28">
        <f>IF(Source!BC39&lt;&gt;0,Source!BC39,1)</f>
        <v>1</v>
      </c>
      <c r="K103" s="32">
        <f>Source!O39</f>
        <v>297.53</v>
      </c>
      <c r="Q103">
        <f>ROUND((Source!DN39/100)*ROUND(Source!CT39*Source!I39/IF(Source!BA39&lt;&gt;0,Source!BA39,1),2),2)</f>
        <v>0</v>
      </c>
      <c r="R103">
        <f>Source!X39</f>
        <v>0</v>
      </c>
      <c r="S103">
        <f>ROUND((Source!DO39/100)*ROUND(Source!CT39*Source!I39/IF(Source!BA39&lt;&gt;0,Source!BA39,1),2),2)</f>
        <v>0</v>
      </c>
      <c r="T103">
        <f>Source!Y39</f>
        <v>0</v>
      </c>
      <c r="U103">
        <f>ROUND((175/100)*ROUND(Source!CS39*Source!I39/IF(Source!BS39&lt;&gt;0,Source!BS39,1),2),2)</f>
        <v>0</v>
      </c>
      <c r="V103">
        <f>ROUND((180/100)*ROUND(Source!CS39*Source!I39,2),2)</f>
        <v>0</v>
      </c>
    </row>
    <row r="104" spans="1:22" ht="47.25">
      <c r="A104" s="26" t="str">
        <f>Source!E40</f>
        <v>9,2</v>
      </c>
      <c r="B104" s="27" t="str">
        <f>Source!F40</f>
        <v>1.1-1-9</v>
      </c>
      <c r="C104" s="25" t="str">
        <f>Source!G40</f>
        <v>АММОНИЙ СЕРНОКИСЛЫЙ ОЧИЩЕННЫЙ</v>
      </c>
      <c r="D104" s="29" t="str">
        <f>Source!H40</f>
        <v>т</v>
      </c>
      <c r="E104" s="28">
        <f>ROUND(Source!I40,6)</f>
        <v>0.06</v>
      </c>
      <c r="F104" s="31">
        <f>IF(Source!AL40=0,Source!AK40,Source!AL40)</f>
        <v>7682.53</v>
      </c>
      <c r="G104" s="30">
        <f>Source!DD40</f>
      </c>
      <c r="H104" s="28"/>
      <c r="I104" s="32">
        <f>ROUND(Source!CQ40*Source!I40/IF(Source!BC40&lt;&gt;0,Source!BC40,1),2)+ROUND(Source!CR40*Source!I40/IF(Source!BB40&lt;&gt;0,Source!BB40,1),2)+ROUND(Source!CT40*Source!I40/IF(Source!BA40&lt;&gt;0,Source!BA40,1),2)</f>
        <v>460.95</v>
      </c>
      <c r="J104" s="28">
        <f>IF(Source!BC40&lt;&gt;0,Source!BC40,1)</f>
        <v>1</v>
      </c>
      <c r="K104" s="32">
        <f>Source!O40</f>
        <v>460.95</v>
      </c>
      <c r="Q104">
        <f>ROUND((Source!DN40/100)*ROUND(Source!CT40*Source!I40/IF(Source!BA40&lt;&gt;0,Source!BA40,1),2),2)</f>
        <v>0</v>
      </c>
      <c r="R104">
        <f>Source!X40</f>
        <v>0</v>
      </c>
      <c r="S104">
        <f>ROUND((Source!DO40/100)*ROUND(Source!CT40*Source!I40/IF(Source!BA40&lt;&gt;0,Source!BA40,1),2),2)</f>
        <v>0</v>
      </c>
      <c r="T104">
        <f>Source!Y40</f>
        <v>0</v>
      </c>
      <c r="U104">
        <f>ROUND((175/100)*ROUND(Source!CS40*Source!I40/IF(Source!BS40&lt;&gt;0,Source!BS40,1),2),2)</f>
        <v>0</v>
      </c>
      <c r="V104">
        <f>ROUND((180/100)*ROUND(Source!CS40*Source!I40,2),2)</f>
        <v>0</v>
      </c>
    </row>
    <row r="105" spans="1:22" ht="63">
      <c r="A105" s="26" t="str">
        <f>Source!E41</f>
        <v>9,3</v>
      </c>
      <c r="B105" s="27" t="str">
        <f>Source!F41</f>
        <v>1.1-1-10</v>
      </c>
      <c r="C105" s="25" t="str">
        <f>Source!G41</f>
        <v>АММОНИЙ ФОСФОРНОКИСЛЫЙ (ДИАММОНИЙ ФОСФАТ)</v>
      </c>
      <c r="D105" s="29" t="str">
        <f>Source!H41</f>
        <v>т</v>
      </c>
      <c r="E105" s="28">
        <f>ROUND(Source!I41,6)</f>
        <v>0.23</v>
      </c>
      <c r="F105" s="31">
        <f>IF(Source!AL41=0,Source!AK41,Source!AL41)</f>
        <v>7777.06</v>
      </c>
      <c r="G105" s="30">
        <f>Source!DD41</f>
      </c>
      <c r="H105" s="28"/>
      <c r="I105" s="32">
        <f>ROUND(Source!CQ41*Source!I41/IF(Source!BC41&lt;&gt;0,Source!BC41,1),2)+ROUND(Source!CR41*Source!I41/IF(Source!BB41&lt;&gt;0,Source!BB41,1),2)+ROUND(Source!CT41*Source!I41/IF(Source!BA41&lt;&gt;0,Source!BA41,1),2)</f>
        <v>1788.72</v>
      </c>
      <c r="J105" s="28">
        <f>IF(Source!BC41&lt;&gt;0,Source!BC41,1)</f>
        <v>1</v>
      </c>
      <c r="K105" s="32">
        <f>Source!O41</f>
        <v>1788.72</v>
      </c>
      <c r="Q105">
        <f>ROUND((Source!DN41/100)*ROUND(Source!CT41*Source!I41/IF(Source!BA41&lt;&gt;0,Source!BA41,1),2),2)</f>
        <v>0</v>
      </c>
      <c r="R105">
        <f>Source!X41</f>
        <v>0</v>
      </c>
      <c r="S105">
        <f>ROUND((Source!DO41/100)*ROUND(Source!CT41*Source!I41/IF(Source!BA41&lt;&gt;0,Source!BA41,1),2),2)</f>
        <v>0</v>
      </c>
      <c r="T105">
        <f>Source!Y41</f>
        <v>0</v>
      </c>
      <c r="U105">
        <f>ROUND((175/100)*ROUND(Source!CS41*Source!I41/IF(Source!BS41&lt;&gt;0,Source!BS41,1),2),2)</f>
        <v>0</v>
      </c>
      <c r="V105">
        <f>ROUND((180/100)*ROUND(Source!CS41*Source!I41,2),2)</f>
        <v>0</v>
      </c>
    </row>
    <row r="106" spans="1:11" ht="15.75">
      <c r="A106" s="26"/>
      <c r="B106" s="27"/>
      <c r="C106" s="25" t="s">
        <v>237</v>
      </c>
      <c r="D106" s="29" t="s">
        <v>238</v>
      </c>
      <c r="E106" s="28">
        <f>Source!DN38</f>
        <v>120</v>
      </c>
      <c r="F106" s="31"/>
      <c r="G106" s="30"/>
      <c r="H106" s="28"/>
      <c r="I106" s="32">
        <f>SUM(Q98:Q105)</f>
        <v>552.7</v>
      </c>
      <c r="J106" s="28">
        <f>Source!BZ38</f>
        <v>112</v>
      </c>
      <c r="K106" s="32">
        <f>SUM(R98:R105)</f>
        <v>515.85</v>
      </c>
    </row>
    <row r="107" spans="1:11" ht="15.75">
      <c r="A107" s="26"/>
      <c r="B107" s="27"/>
      <c r="C107" s="25" t="s">
        <v>239</v>
      </c>
      <c r="D107" s="29" t="s">
        <v>238</v>
      </c>
      <c r="E107" s="28">
        <f>Source!DO38</f>
        <v>84</v>
      </c>
      <c r="F107" s="31"/>
      <c r="G107" s="30"/>
      <c r="H107" s="28"/>
      <c r="I107" s="32">
        <f>SUM(S98:S106)</f>
        <v>386.89</v>
      </c>
      <c r="J107" s="28">
        <f>Source!CA38</f>
        <v>67</v>
      </c>
      <c r="K107" s="32">
        <f>SUM(T98:T106)</f>
        <v>308.59</v>
      </c>
    </row>
    <row r="108" spans="1:11" ht="15.75">
      <c r="A108" s="26"/>
      <c r="B108" s="27"/>
      <c r="C108" s="25" t="s">
        <v>240</v>
      </c>
      <c r="D108" s="29" t="s">
        <v>238</v>
      </c>
      <c r="E108" s="28">
        <f>175</f>
        <v>175</v>
      </c>
      <c r="F108" s="31"/>
      <c r="G108" s="30"/>
      <c r="H108" s="28"/>
      <c r="I108" s="32">
        <f>SUM(U98:U107)</f>
        <v>34.46</v>
      </c>
      <c r="J108" s="28">
        <f>180</f>
        <v>180</v>
      </c>
      <c r="K108" s="32">
        <f>SUM(V98:V107)</f>
        <v>35.44</v>
      </c>
    </row>
    <row r="109" spans="1:11" ht="15.75">
      <c r="A109" s="36"/>
      <c r="B109" s="37"/>
      <c r="C109" s="38" t="s">
        <v>241</v>
      </c>
      <c r="D109" s="39" t="s">
        <v>242</v>
      </c>
      <c r="E109" s="40">
        <f>Source!AQ38</f>
        <v>29</v>
      </c>
      <c r="F109" s="41"/>
      <c r="G109" s="42" t="str">
        <f>Source!DI38</f>
        <v>)*1.15</v>
      </c>
      <c r="H109" s="40"/>
      <c r="I109" s="43">
        <f>Source!U38</f>
        <v>34.917449999999995</v>
      </c>
      <c r="J109" s="40"/>
      <c r="K109" s="43"/>
    </row>
    <row r="110" spans="8:27" ht="15.75">
      <c r="H110" s="35">
        <f>ROUND(Source!CQ38*Source!I38/IF(Source!BC38&lt;&gt;0,Source!BC38,1),2)+ROUND(Source!CT38*Source!I38/IF(Source!BA38&lt;&gt;0,Source!BA38,1),2)+ROUND(Source!CR38*Source!I38/IF(Source!BB38&lt;&gt;0,Source!BB38,1),2)+SUM(I103:I108)</f>
        <v>4106.5</v>
      </c>
      <c r="I110" s="35"/>
      <c r="J110" s="35">
        <f>Source!O38+SUM(K103:K108)</f>
        <v>3992.33</v>
      </c>
      <c r="K110" s="35"/>
      <c r="O110" s="33">
        <f>H110</f>
        <v>4106.5</v>
      </c>
      <c r="P110" s="33">
        <f>J110</f>
        <v>3992.33</v>
      </c>
      <c r="X110">
        <f>IF(Source!BI38&lt;=1,H110,0)</f>
        <v>4106.5</v>
      </c>
      <c r="Y110">
        <f>IF(Source!BI38=2,H110,0)</f>
        <v>0</v>
      </c>
      <c r="Z110">
        <f>IF(Source!BI38=3,H110,0)</f>
        <v>0</v>
      </c>
      <c r="AA110">
        <f>IF(Source!BI38=4,H110,0)</f>
        <v>0</v>
      </c>
    </row>
    <row r="112" spans="1:28" ht="15.75">
      <c r="A112" s="45" t="str">
        <f>CONCATENATE("Итого по локальной смете: ",Source!G43)</f>
        <v>Итого по локальной смете: КРОВЕЛЬНЫЕ РАБОТЫ</v>
      </c>
      <c r="B112" s="45"/>
      <c r="C112" s="45"/>
      <c r="D112" s="45"/>
      <c r="E112" s="45"/>
      <c r="F112" s="45"/>
      <c r="G112" s="45"/>
      <c r="H112" s="35">
        <f>SUM(O24:O111)</f>
        <v>42677.51</v>
      </c>
      <c r="I112" s="44"/>
      <c r="J112" s="35">
        <f>SUM(P24:P111)</f>
        <v>41840.95999999999</v>
      </c>
      <c r="K112" s="44"/>
      <c r="AB112" s="46" t="s">
        <v>243</v>
      </c>
    </row>
    <row r="114" spans="3:11" ht="15.75">
      <c r="C114" s="25" t="str">
        <f>Source!H63</f>
        <v>ИТОГО ПО СМЕТЕ</v>
      </c>
      <c r="J114" s="34">
        <f>Source!F63</f>
        <v>41788.57</v>
      </c>
      <c r="K114" s="34"/>
    </row>
    <row r="115" spans="3:11" ht="15.75">
      <c r="C115" s="25" t="str">
        <f>Source!H64</f>
        <v>НДС - 20%</v>
      </c>
      <c r="J115" s="34">
        <f>Source!F64</f>
        <v>8357.71</v>
      </c>
      <c r="K115" s="34"/>
    </row>
    <row r="116" spans="3:11" ht="15.75">
      <c r="C116" s="25" t="str">
        <f>Source!H65</f>
        <v>ВСЕГО ПО СМЕТЕ</v>
      </c>
      <c r="J116" s="34">
        <f>Source!F65</f>
        <v>50146.28</v>
      </c>
      <c r="K116" s="34"/>
    </row>
    <row r="118" spans="1:28" ht="15.75">
      <c r="A118" s="45" t="str">
        <f>CONCATENATE("Итого по смете: ",Source!G67)</f>
        <v>Итого по смете: ДОМ №7 Смета на ремонт кровли (сталь оцинкованная)</v>
      </c>
      <c r="B118" s="45"/>
      <c r="C118" s="45"/>
      <c r="D118" s="45"/>
      <c r="E118" s="45"/>
      <c r="F118" s="45"/>
      <c r="G118" s="45"/>
      <c r="H118" s="35">
        <f>SUM(O1:O117)</f>
        <v>42677.51</v>
      </c>
      <c r="I118" s="44"/>
      <c r="J118" s="35">
        <f>SUM(P1:P117)</f>
        <v>41840.95999999999</v>
      </c>
      <c r="K118" s="44"/>
      <c r="AB118" s="46" t="s">
        <v>244</v>
      </c>
    </row>
    <row r="121" spans="1:11" ht="15.75">
      <c r="A121" s="47" t="s">
        <v>245</v>
      </c>
      <c r="B121" s="47"/>
      <c r="C121" s="48" t="str">
        <f>IF(Source!AC12&lt;&gt;"",Source!AC12," ")</f>
        <v> </v>
      </c>
      <c r="D121" s="48"/>
      <c r="E121" s="48"/>
      <c r="F121" s="48"/>
      <c r="G121" s="48"/>
      <c r="H121" s="9" t="str">
        <f>IF(Source!AB12&lt;&gt;"",Source!AB12," ")</f>
        <v> </v>
      </c>
      <c r="I121" s="9"/>
      <c r="J121" s="9"/>
      <c r="K121" s="9"/>
    </row>
    <row r="122" spans="1:11" ht="15.75">
      <c r="A122" s="9"/>
      <c r="B122" s="9"/>
      <c r="C122" s="8" t="s">
        <v>246</v>
      </c>
      <c r="D122" s="8"/>
      <c r="E122" s="8"/>
      <c r="F122" s="8"/>
      <c r="G122" s="8"/>
      <c r="H122" s="9"/>
      <c r="I122" s="9"/>
      <c r="J122" s="9"/>
      <c r="K122" s="9"/>
    </row>
    <row r="123" spans="1:11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.75">
      <c r="A124" s="47" t="s">
        <v>247</v>
      </c>
      <c r="B124" s="47"/>
      <c r="C124" s="48" t="str">
        <f>IF(Source!AE12&lt;&gt;"",Source!AE12," ")</f>
        <v> </v>
      </c>
      <c r="D124" s="48"/>
      <c r="E124" s="48"/>
      <c r="F124" s="48"/>
      <c r="G124" s="48"/>
      <c r="H124" s="9" t="str">
        <f>IF(Source!AD12&lt;&gt;"",Source!AD12," ")</f>
        <v> </v>
      </c>
      <c r="I124" s="9"/>
      <c r="J124" s="9"/>
      <c r="K124" s="9"/>
    </row>
    <row r="125" spans="1:11" ht="15.75">
      <c r="A125" s="9"/>
      <c r="B125" s="9"/>
      <c r="C125" s="8" t="s">
        <v>246</v>
      </c>
      <c r="D125" s="8"/>
      <c r="E125" s="8"/>
      <c r="F125" s="8"/>
      <c r="G125" s="8"/>
      <c r="H125" s="9"/>
      <c r="I125" s="9"/>
      <c r="J125" s="9"/>
      <c r="K125" s="9"/>
    </row>
  </sheetData>
  <sheetProtection/>
  <mergeCells count="45">
    <mergeCell ref="C122:G122"/>
    <mergeCell ref="A124:B124"/>
    <mergeCell ref="C125:G125"/>
    <mergeCell ref="J115:K115"/>
    <mergeCell ref="J116:K116"/>
    <mergeCell ref="J118:K118"/>
    <mergeCell ref="H118:I118"/>
    <mergeCell ref="A118:G118"/>
    <mergeCell ref="A121:B121"/>
    <mergeCell ref="J110:K110"/>
    <mergeCell ref="H110:I110"/>
    <mergeCell ref="J112:K112"/>
    <mergeCell ref="H112:I112"/>
    <mergeCell ref="A112:G112"/>
    <mergeCell ref="J114:K114"/>
    <mergeCell ref="J80:K80"/>
    <mergeCell ref="H80:I80"/>
    <mergeCell ref="J89:K89"/>
    <mergeCell ref="H89:I89"/>
    <mergeCell ref="J97:K97"/>
    <mergeCell ref="H97:I97"/>
    <mergeCell ref="J51:K51"/>
    <mergeCell ref="H51:I51"/>
    <mergeCell ref="J62:K62"/>
    <mergeCell ref="H62:I62"/>
    <mergeCell ref="J71:K71"/>
    <mergeCell ref="H71:I71"/>
    <mergeCell ref="F19:H19"/>
    <mergeCell ref="F20:H20"/>
    <mergeCell ref="J34:K34"/>
    <mergeCell ref="H34:I34"/>
    <mergeCell ref="J45:K45"/>
    <mergeCell ref="H45:I45"/>
    <mergeCell ref="B11:K11"/>
    <mergeCell ref="A13:K13"/>
    <mergeCell ref="F15:H15"/>
    <mergeCell ref="F16:H16"/>
    <mergeCell ref="F17:H17"/>
    <mergeCell ref="F18:H18"/>
    <mergeCell ref="A2:K2"/>
    <mergeCell ref="A3:K3"/>
    <mergeCell ref="A5:K5"/>
    <mergeCell ref="A6:K6"/>
    <mergeCell ref="A8:K8"/>
    <mergeCell ref="B10:K10"/>
  </mergeCells>
  <printOptions/>
  <pageMargins left="0.4" right="0.4" top="0.2" bottom="0.2" header="0.2" footer="0.2"/>
  <pageSetup horizontalDpi="600" verticalDpi="600" orientation="portrait" paperSize="9" scale="65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R9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48816</v>
      </c>
    </row>
    <row r="12" spans="1:133" ht="12.75">
      <c r="A12" s="1">
        <v>1</v>
      </c>
      <c r="B12" s="1">
        <v>91</v>
      </c>
      <c r="C12" s="1">
        <v>0</v>
      </c>
      <c r="D12" s="1">
        <f>ROW(A67)</f>
        <v>67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180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0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B67</f>
        <v>91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ДОМ №7 (ТСН-2001. ТЕРРИТОРИАЛЬНЫЕ СМЕТНЫЕ НОРМАТИВЫ ДЛЯ МОСК</v>
      </c>
      <c r="G18" s="2" t="str">
        <f t="shared" si="0"/>
        <v>ДОМ №7 Смета на ремонт кровли (сталь оцинкованная)</v>
      </c>
      <c r="H18" s="2"/>
      <c r="I18" s="2"/>
      <c r="J18" s="2"/>
      <c r="K18" s="2"/>
      <c r="L18" s="2"/>
      <c r="M18" s="2"/>
      <c r="N18" s="2"/>
      <c r="O18" s="2">
        <f aca="true" t="shared" si="1" ref="O18:AT18">O67</f>
        <v>30468.87</v>
      </c>
      <c r="P18" s="2">
        <f t="shared" si="1"/>
        <v>22719.68</v>
      </c>
      <c r="Q18" s="2">
        <f t="shared" si="1"/>
        <v>1813.99</v>
      </c>
      <c r="R18" s="2">
        <f t="shared" si="1"/>
        <v>209.58</v>
      </c>
      <c r="S18" s="2">
        <f t="shared" si="1"/>
        <v>5935.2</v>
      </c>
      <c r="T18" s="2">
        <f t="shared" si="1"/>
        <v>0</v>
      </c>
      <c r="U18" s="2">
        <f t="shared" si="1"/>
        <v>349.5972169999999</v>
      </c>
      <c r="V18" s="2">
        <f t="shared" si="1"/>
        <v>0</v>
      </c>
      <c r="W18" s="2">
        <f t="shared" si="1"/>
        <v>0</v>
      </c>
      <c r="X18" s="2">
        <f t="shared" si="1"/>
        <v>6557.7</v>
      </c>
      <c r="Y18" s="2">
        <f t="shared" si="1"/>
        <v>4437.15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41840.96</v>
      </c>
      <c r="AS18" s="2">
        <f t="shared" si="1"/>
        <v>41840.96</v>
      </c>
      <c r="AT18" s="2">
        <f t="shared" si="1"/>
        <v>0</v>
      </c>
      <c r="AU18" s="2">
        <f aca="true" t="shared" si="2" ref="AU18:BZ18">AU67</f>
        <v>0</v>
      </c>
      <c r="AV18" s="2">
        <f t="shared" si="2"/>
        <v>0</v>
      </c>
      <c r="AW18" s="2">
        <f t="shared" si="2"/>
        <v>0</v>
      </c>
      <c r="AX18" s="2">
        <f t="shared" si="2"/>
        <v>0</v>
      </c>
      <c r="AY18" s="2">
        <f t="shared" si="2"/>
        <v>0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CA67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DG67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68" ht="12.75">
      <c r="A20" s="1">
        <v>3</v>
      </c>
      <c r="B20" s="1">
        <v>1</v>
      </c>
      <c r="C20" s="1"/>
      <c r="D20" s="1">
        <f>ROW(A43)</f>
        <v>43</v>
      </c>
      <c r="E20" s="1"/>
      <c r="F20" s="1" t="s">
        <v>12</v>
      </c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1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3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  <c r="BP20" s="1" t="s">
        <v>3</v>
      </c>
    </row>
    <row r="22" spans="1:118" ht="12.75">
      <c r="A22" s="2">
        <v>52</v>
      </c>
      <c r="B22" s="2">
        <f aca="true" t="shared" si="5" ref="B22:G22">B43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КРОВЕЛЬНЫЕ РАБОТЫ</v>
      </c>
      <c r="G22" s="2" t="str">
        <f t="shared" si="5"/>
        <v>КРОВЕЛЬНЫЕ РАБОТЫ</v>
      </c>
      <c r="H22" s="2"/>
      <c r="I22" s="2"/>
      <c r="J22" s="2"/>
      <c r="K22" s="2"/>
      <c r="L22" s="2"/>
      <c r="M22" s="2"/>
      <c r="N22" s="2"/>
      <c r="O22" s="2">
        <f aca="true" t="shared" si="6" ref="O22:AT22">O43</f>
        <v>30468.87</v>
      </c>
      <c r="P22" s="2">
        <f t="shared" si="6"/>
        <v>22719.68</v>
      </c>
      <c r="Q22" s="2">
        <f t="shared" si="6"/>
        <v>1813.99</v>
      </c>
      <c r="R22" s="2">
        <f t="shared" si="6"/>
        <v>209.58</v>
      </c>
      <c r="S22" s="2">
        <f t="shared" si="6"/>
        <v>5935.2</v>
      </c>
      <c r="T22" s="2">
        <f t="shared" si="6"/>
        <v>0</v>
      </c>
      <c r="U22" s="2">
        <f t="shared" si="6"/>
        <v>349.5972169999999</v>
      </c>
      <c r="V22" s="2">
        <f t="shared" si="6"/>
        <v>0</v>
      </c>
      <c r="W22" s="2">
        <f t="shared" si="6"/>
        <v>0</v>
      </c>
      <c r="X22" s="2">
        <f t="shared" si="6"/>
        <v>6557.7</v>
      </c>
      <c r="Y22" s="2">
        <f t="shared" si="6"/>
        <v>4437.15</v>
      </c>
      <c r="Z22" s="2">
        <f t="shared" si="6"/>
        <v>0</v>
      </c>
      <c r="AA22" s="2">
        <f t="shared" si="6"/>
        <v>0</v>
      </c>
      <c r="AB22" s="2">
        <f t="shared" si="6"/>
        <v>30468.87</v>
      </c>
      <c r="AC22" s="2">
        <f t="shared" si="6"/>
        <v>22719.68</v>
      </c>
      <c r="AD22" s="2">
        <f t="shared" si="6"/>
        <v>1813.99</v>
      </c>
      <c r="AE22" s="2">
        <f t="shared" si="6"/>
        <v>209.58</v>
      </c>
      <c r="AF22" s="2">
        <f t="shared" si="6"/>
        <v>5935.2</v>
      </c>
      <c r="AG22" s="2">
        <f t="shared" si="6"/>
        <v>0</v>
      </c>
      <c r="AH22" s="2">
        <f t="shared" si="6"/>
        <v>349.5972169999999</v>
      </c>
      <c r="AI22" s="2">
        <f t="shared" si="6"/>
        <v>0</v>
      </c>
      <c r="AJ22" s="2">
        <f t="shared" si="6"/>
        <v>0</v>
      </c>
      <c r="AK22" s="2">
        <f t="shared" si="6"/>
        <v>6557.7</v>
      </c>
      <c r="AL22" s="2">
        <f t="shared" si="6"/>
        <v>4437.15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41840.96</v>
      </c>
      <c r="AS22" s="2">
        <f t="shared" si="6"/>
        <v>41840.96</v>
      </c>
      <c r="AT22" s="2">
        <f t="shared" si="6"/>
        <v>0</v>
      </c>
      <c r="AU22" s="2">
        <f aca="true" t="shared" si="7" ref="AU22:BZ22">AU43</f>
        <v>0</v>
      </c>
      <c r="AV22" s="2">
        <f t="shared" si="7"/>
        <v>0</v>
      </c>
      <c r="AW22" s="2">
        <f t="shared" si="7"/>
        <v>0</v>
      </c>
      <c r="AX22" s="2">
        <f t="shared" si="7"/>
        <v>0</v>
      </c>
      <c r="AY22" s="2">
        <f t="shared" si="7"/>
        <v>0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41840.96</v>
      </c>
      <c r="BF22" s="2">
        <f t="shared" si="7"/>
        <v>41840.96</v>
      </c>
      <c r="BG22" s="2">
        <f t="shared" si="7"/>
        <v>0</v>
      </c>
      <c r="BH22" s="2">
        <f t="shared" si="7"/>
        <v>0</v>
      </c>
      <c r="BI22" s="2">
        <f t="shared" si="7"/>
        <v>0</v>
      </c>
      <c r="BJ22" s="2">
        <f t="shared" si="7"/>
        <v>0</v>
      </c>
      <c r="BK22" s="2">
        <f t="shared" si="7"/>
        <v>0</v>
      </c>
      <c r="BL22" s="2">
        <f t="shared" si="7"/>
        <v>0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CA43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DG43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0" ht="12.75">
      <c r="A24">
        <v>17</v>
      </c>
      <c r="B24">
        <v>1</v>
      </c>
      <c r="C24">
        <f>ROW(SmtRes!A7)</f>
        <v>7</v>
      </c>
      <c r="D24">
        <f>ROW(EtalonRes!A6)</f>
        <v>6</v>
      </c>
      <c r="E24" t="s">
        <v>13</v>
      </c>
      <c r="F24" t="s">
        <v>14</v>
      </c>
      <c r="G24" t="s">
        <v>15</v>
      </c>
      <c r="H24" t="s">
        <v>16</v>
      </c>
      <c r="I24">
        <v>1</v>
      </c>
      <c r="J24">
        <v>0</v>
      </c>
      <c r="O24">
        <f aca="true" t="shared" si="10" ref="O24:O41">ROUND(CP24,2)</f>
        <v>6808.78</v>
      </c>
      <c r="P24">
        <f aca="true" t="shared" si="11" ref="P24:P41">ROUND(CQ24*I24,2)</f>
        <v>722.79</v>
      </c>
      <c r="Q24">
        <f aca="true" t="shared" si="12" ref="Q24:Q41">ROUND(CR24*I24,2)</f>
        <v>1656.5</v>
      </c>
      <c r="R24">
        <f aca="true" t="shared" si="13" ref="R24:R41">ROUND(CS24*I24,2)</f>
        <v>180.8</v>
      </c>
      <c r="S24">
        <f aca="true" t="shared" si="14" ref="S24:S41">ROUND(CT24*I24,2)</f>
        <v>4429.49</v>
      </c>
      <c r="T24">
        <f aca="true" t="shared" si="15" ref="T24:T41">ROUND(CU24*I24,2)</f>
        <v>0</v>
      </c>
      <c r="U24">
        <f aca="true" t="shared" si="16" ref="U24:U41">CV24*I24</f>
        <v>227.50909999999996</v>
      </c>
      <c r="V24">
        <f aca="true" t="shared" si="17" ref="V24:V41">CW24*I24</f>
        <v>0</v>
      </c>
      <c r="W24">
        <f aca="true" t="shared" si="18" ref="W24:W41">ROUND(CX24*I24,2)</f>
        <v>0</v>
      </c>
      <c r="X24">
        <f aca="true" t="shared" si="19" ref="X24:X41">ROUND(CY24,2)</f>
        <v>4916.73</v>
      </c>
      <c r="Y24">
        <f aca="true" t="shared" si="20" ref="Y24:Y41">ROUND(CZ24,2)</f>
        <v>3366.41</v>
      </c>
      <c r="AA24">
        <v>22535680</v>
      </c>
      <c r="AB24">
        <f aca="true" t="shared" si="21" ref="AB24:AB41">(AC24+AD24+AF24)</f>
        <v>6320.958849999999</v>
      </c>
      <c r="AC24">
        <f>(ES24)</f>
        <v>722.07</v>
      </c>
      <c r="AD24">
        <f>(((ET24*1.15)*1.25))</f>
        <v>1523.9224999999997</v>
      </c>
      <c r="AE24">
        <f>(((EU24*1.15)*1.25))</f>
        <v>166.333125</v>
      </c>
      <c r="AF24">
        <f>(((EV24*1.15)*1.15))</f>
        <v>4074.9663499999997</v>
      </c>
      <c r="AG24">
        <f>(AP24)</f>
        <v>0</v>
      </c>
      <c r="AH24">
        <f>((EW24*1.15))</f>
        <v>209.29999999999998</v>
      </c>
      <c r="AI24">
        <f>(((EX24*1.15)*1.25))</f>
        <v>0</v>
      </c>
      <c r="AJ24">
        <f>(AS24)</f>
        <v>0</v>
      </c>
      <c r="AK24">
        <v>4863.450000000001</v>
      </c>
      <c r="AL24">
        <v>722.07</v>
      </c>
      <c r="AM24">
        <v>1060.12</v>
      </c>
      <c r="AN24">
        <v>115.71</v>
      </c>
      <c r="AO24">
        <v>3081.26</v>
      </c>
      <c r="AP24">
        <v>0</v>
      </c>
      <c r="AQ24">
        <v>182</v>
      </c>
      <c r="AR24">
        <v>0</v>
      </c>
      <c r="AS24">
        <v>0</v>
      </c>
      <c r="AT24">
        <v>111</v>
      </c>
      <c r="AU24">
        <v>76</v>
      </c>
      <c r="AV24">
        <v>1.087</v>
      </c>
      <c r="AW24">
        <v>1.001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1</v>
      </c>
      <c r="BJ24" t="s">
        <v>17</v>
      </c>
      <c r="BM24">
        <v>96</v>
      </c>
      <c r="BN24">
        <v>0</v>
      </c>
      <c r="BO24" t="s">
        <v>14</v>
      </c>
      <c r="BP24">
        <v>1</v>
      </c>
      <c r="BQ24">
        <v>30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111</v>
      </c>
      <c r="CA24">
        <v>76</v>
      </c>
      <c r="CF24">
        <v>0</v>
      </c>
      <c r="CG24">
        <v>0</v>
      </c>
      <c r="CM24">
        <v>0</v>
      </c>
      <c r="CO24">
        <v>0</v>
      </c>
      <c r="CP24">
        <f aca="true" t="shared" si="22" ref="CP24:CP41">(P24+Q24+S24)</f>
        <v>6808.78</v>
      </c>
      <c r="CQ24">
        <f aca="true" t="shared" si="23" ref="CQ24:CQ41">((AC24*AW24))*BC24</f>
        <v>722.79207</v>
      </c>
      <c r="CR24">
        <f aca="true" t="shared" si="24" ref="CR24:CR41">((AD24*AV24))*BB24</f>
        <v>1656.5037574999997</v>
      </c>
      <c r="CS24">
        <f aca="true" t="shared" si="25" ref="CS24:CS41">((AE24*AV24))*BS24</f>
        <v>180.804106875</v>
      </c>
      <c r="CT24">
        <f aca="true" t="shared" si="26" ref="CT24:CT41">((AF24*AV24))*BA24</f>
        <v>4429.488422449999</v>
      </c>
      <c r="CU24">
        <f aca="true" t="shared" si="27" ref="CU24:CU41">AG24</f>
        <v>0</v>
      </c>
      <c r="CV24">
        <f aca="true" t="shared" si="28" ref="CV24:CV41">(AH24*AV24)</f>
        <v>227.50909999999996</v>
      </c>
      <c r="CW24">
        <f aca="true" t="shared" si="29" ref="CW24:CW41">AI24</f>
        <v>0</v>
      </c>
      <c r="CX24">
        <f aca="true" t="shared" si="30" ref="CX24:CX41">AJ24</f>
        <v>0</v>
      </c>
      <c r="CY24">
        <f aca="true" t="shared" si="31" ref="CY24:CY41">S24*(BZ24/100)</f>
        <v>4916.7339</v>
      </c>
      <c r="CZ24">
        <f aca="true" t="shared" si="32" ref="CZ24:CZ41">S24*(CA24/100)</f>
        <v>3366.4123999999997</v>
      </c>
      <c r="DE24" t="s">
        <v>18</v>
      </c>
      <c r="DF24" t="s">
        <v>18</v>
      </c>
      <c r="DG24" t="s">
        <v>19</v>
      </c>
      <c r="DI24" t="s">
        <v>20</v>
      </c>
      <c r="DJ24" t="s">
        <v>18</v>
      </c>
      <c r="DN24">
        <v>120</v>
      </c>
      <c r="DO24">
        <v>84</v>
      </c>
      <c r="DP24">
        <v>1.087</v>
      </c>
      <c r="DQ24">
        <v>1.001</v>
      </c>
      <c r="DU24">
        <v>1005</v>
      </c>
      <c r="DV24" t="s">
        <v>16</v>
      </c>
      <c r="DW24" t="s">
        <v>16</v>
      </c>
      <c r="DX24">
        <v>100</v>
      </c>
      <c r="EE24">
        <v>22534578</v>
      </c>
      <c r="EF24">
        <v>30</v>
      </c>
      <c r="EG24" t="s">
        <v>21</v>
      </c>
      <c r="EH24">
        <v>0</v>
      </c>
      <c r="EJ24">
        <v>1</v>
      </c>
      <c r="EK24">
        <v>96</v>
      </c>
      <c r="EL24" t="s">
        <v>22</v>
      </c>
      <c r="EM24" t="s">
        <v>23</v>
      </c>
      <c r="EQ24">
        <v>0</v>
      </c>
      <c r="ER24">
        <v>4863.450000000001</v>
      </c>
      <c r="ES24">
        <v>722.07</v>
      </c>
      <c r="ET24">
        <v>1060.12</v>
      </c>
      <c r="EU24">
        <v>115.71</v>
      </c>
      <c r="EV24">
        <v>3081.26</v>
      </c>
      <c r="EW24">
        <v>182</v>
      </c>
      <c r="EX24">
        <v>0</v>
      </c>
      <c r="EY24">
        <v>0</v>
      </c>
      <c r="EZ24">
        <v>0</v>
      </c>
      <c r="FQ24">
        <v>0</v>
      </c>
      <c r="FR24">
        <f aca="true" t="shared" si="33" ref="FR24:FR41">ROUND(IF(AND(BH24=3,BI24=3),P24,0),2)</f>
        <v>0</v>
      </c>
      <c r="FS24">
        <v>0</v>
      </c>
      <c r="FX24">
        <v>111</v>
      </c>
      <c r="FY24">
        <v>76</v>
      </c>
      <c r="GG24">
        <v>2</v>
      </c>
      <c r="GH24">
        <v>0</v>
      </c>
      <c r="GI24">
        <v>0</v>
      </c>
      <c r="GJ24">
        <v>0</v>
      </c>
      <c r="GK24">
        <f>ROUND(R24*(R12)/100,2)</f>
        <v>325.44</v>
      </c>
      <c r="GL24">
        <f aca="true" t="shared" si="34" ref="GL24:GL41">ROUND(IF(AND(BH24=3,BI24=3,FS24&lt;&gt;0),P24,0),2)</f>
        <v>0</v>
      </c>
      <c r="GM24">
        <f aca="true" t="shared" si="35" ref="GM24:GM41">O24+X24+Y24+GK24</f>
        <v>15417.359999999999</v>
      </c>
      <c r="GN24">
        <f aca="true" t="shared" si="36" ref="GN24:GN41">ROUND(IF(OR(BI24=0,BI24=1),O24+X24+Y24+GK24,0),2)</f>
        <v>15417.36</v>
      </c>
      <c r="GO24">
        <f aca="true" t="shared" si="37" ref="GO24:GO41">ROUND(IF(BI24=2,O24+X24+Y24+GK24,0),2)</f>
        <v>0</v>
      </c>
      <c r="GP24">
        <f aca="true" t="shared" si="38" ref="GP24:GP41">ROUND(IF(BI24=4,O24+X24+Y24+GK24,0),2)</f>
        <v>0</v>
      </c>
      <c r="GR24">
        <v>0</v>
      </c>
    </row>
    <row r="25" spans="1:200" ht="12.75">
      <c r="A25">
        <v>18</v>
      </c>
      <c r="B25">
        <v>1</v>
      </c>
      <c r="C25">
        <v>4</v>
      </c>
      <c r="E25" t="s">
        <v>24</v>
      </c>
      <c r="F25" t="s">
        <v>25</v>
      </c>
      <c r="G25" t="s">
        <v>26</v>
      </c>
      <c r="H25" t="s">
        <v>27</v>
      </c>
      <c r="I25">
        <f>I24*J25</f>
        <v>0.57</v>
      </c>
      <c r="J25">
        <v>0.57</v>
      </c>
      <c r="O25">
        <f t="shared" si="10"/>
        <v>8745.97</v>
      </c>
      <c r="P25">
        <f t="shared" si="11"/>
        <v>8745.97</v>
      </c>
      <c r="Q25">
        <f t="shared" si="12"/>
        <v>0</v>
      </c>
      <c r="R25">
        <f t="shared" si="13"/>
        <v>0</v>
      </c>
      <c r="S25">
        <f t="shared" si="14"/>
        <v>0</v>
      </c>
      <c r="T25">
        <f t="shared" si="15"/>
        <v>0</v>
      </c>
      <c r="U25">
        <f t="shared" si="16"/>
        <v>0</v>
      </c>
      <c r="V25">
        <f t="shared" si="17"/>
        <v>0</v>
      </c>
      <c r="W25">
        <f t="shared" si="18"/>
        <v>0</v>
      </c>
      <c r="X25">
        <f t="shared" si="19"/>
        <v>0</v>
      </c>
      <c r="Y25">
        <f t="shared" si="20"/>
        <v>0</v>
      </c>
      <c r="AA25">
        <v>22535680</v>
      </c>
      <c r="AB25">
        <f t="shared" si="21"/>
        <v>15328.48</v>
      </c>
      <c r="AC25">
        <f>AL25</f>
        <v>15328.48</v>
      </c>
      <c r="AD25">
        <f>(AM25*1.15)</f>
        <v>0</v>
      </c>
      <c r="AE25">
        <f>(AN25*1.15)</f>
        <v>0</v>
      </c>
      <c r="AF25">
        <f>(AO25*1.15)</f>
        <v>0</v>
      </c>
      <c r="AG25">
        <f>AP25</f>
        <v>0</v>
      </c>
      <c r="AH25">
        <f>(AQ25*1.15)</f>
        <v>0</v>
      </c>
      <c r="AI25">
        <f>(AR25*1.15)</f>
        <v>0</v>
      </c>
      <c r="AJ25">
        <f>AS25</f>
        <v>0</v>
      </c>
      <c r="AK25">
        <v>15328.48</v>
      </c>
      <c r="AL25">
        <v>15328.48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1.087</v>
      </c>
      <c r="AW25">
        <v>1.001</v>
      </c>
      <c r="AZ25">
        <v>1</v>
      </c>
      <c r="BA25">
        <v>1</v>
      </c>
      <c r="BB25">
        <v>1</v>
      </c>
      <c r="BC25">
        <v>1</v>
      </c>
      <c r="BH25">
        <v>3</v>
      </c>
      <c r="BI25">
        <v>1</v>
      </c>
      <c r="BJ25" t="s">
        <v>28</v>
      </c>
      <c r="BM25">
        <v>96</v>
      </c>
      <c r="BN25">
        <v>0</v>
      </c>
      <c r="BO25" t="s">
        <v>25</v>
      </c>
      <c r="BP25">
        <v>1</v>
      </c>
      <c r="BQ25">
        <v>30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0</v>
      </c>
      <c r="CA25">
        <v>0</v>
      </c>
      <c r="CF25">
        <v>0</v>
      </c>
      <c r="CG25">
        <v>0</v>
      </c>
      <c r="CM25">
        <v>0</v>
      </c>
      <c r="CO25">
        <v>0</v>
      </c>
      <c r="CP25">
        <f t="shared" si="22"/>
        <v>8745.97</v>
      </c>
      <c r="CQ25">
        <f t="shared" si="23"/>
        <v>15343.808479999998</v>
      </c>
      <c r="CR25">
        <f t="shared" si="24"/>
        <v>0</v>
      </c>
      <c r="CS25">
        <f t="shared" si="25"/>
        <v>0</v>
      </c>
      <c r="CT25">
        <f t="shared" si="26"/>
        <v>0</v>
      </c>
      <c r="CU25">
        <f t="shared" si="27"/>
        <v>0</v>
      </c>
      <c r="CV25">
        <f t="shared" si="28"/>
        <v>0</v>
      </c>
      <c r="CW25">
        <f t="shared" si="29"/>
        <v>0</v>
      </c>
      <c r="CX25">
        <f t="shared" si="30"/>
        <v>0</v>
      </c>
      <c r="CY25">
        <f t="shared" si="31"/>
        <v>0</v>
      </c>
      <c r="CZ25">
        <f t="shared" si="32"/>
        <v>0</v>
      </c>
      <c r="DE25" t="s">
        <v>20</v>
      </c>
      <c r="DF25" t="s">
        <v>20</v>
      </c>
      <c r="DG25" t="s">
        <v>20</v>
      </c>
      <c r="DI25" t="s">
        <v>20</v>
      </c>
      <c r="DJ25" t="s">
        <v>20</v>
      </c>
      <c r="DN25">
        <v>120</v>
      </c>
      <c r="DO25">
        <v>84</v>
      </c>
      <c r="DP25">
        <v>1.087</v>
      </c>
      <c r="DQ25">
        <v>1.001</v>
      </c>
      <c r="DU25">
        <v>1009</v>
      </c>
      <c r="DV25" t="s">
        <v>27</v>
      </c>
      <c r="DW25" t="s">
        <v>27</v>
      </c>
      <c r="DX25">
        <v>1000</v>
      </c>
      <c r="EE25">
        <v>22534578</v>
      </c>
      <c r="EF25">
        <v>30</v>
      </c>
      <c r="EG25" t="s">
        <v>21</v>
      </c>
      <c r="EH25">
        <v>0</v>
      </c>
      <c r="EJ25">
        <v>1</v>
      </c>
      <c r="EK25">
        <v>96</v>
      </c>
      <c r="EL25" t="s">
        <v>22</v>
      </c>
      <c r="EM25" t="s">
        <v>23</v>
      </c>
      <c r="EQ25">
        <v>0</v>
      </c>
      <c r="ER25">
        <v>15328.48</v>
      </c>
      <c r="ES25">
        <v>15328.48</v>
      </c>
      <c r="ET25">
        <v>0</v>
      </c>
      <c r="EU25">
        <v>0</v>
      </c>
      <c r="EV25">
        <v>0</v>
      </c>
      <c r="EW25">
        <v>0</v>
      </c>
      <c r="EX25">
        <v>0</v>
      </c>
      <c r="EZ25">
        <v>0</v>
      </c>
      <c r="FQ25">
        <v>0</v>
      </c>
      <c r="FR25">
        <f t="shared" si="33"/>
        <v>0</v>
      </c>
      <c r="FS25">
        <v>0</v>
      </c>
      <c r="FX25">
        <v>0</v>
      </c>
      <c r="FY25">
        <v>0</v>
      </c>
      <c r="GG25">
        <v>2</v>
      </c>
      <c r="GH25">
        <v>0</v>
      </c>
      <c r="GI25">
        <v>0</v>
      </c>
      <c r="GJ25">
        <v>0</v>
      </c>
      <c r="GK25">
        <f>ROUND(R25*(R12)/100,2)</f>
        <v>0</v>
      </c>
      <c r="GL25">
        <f t="shared" si="34"/>
        <v>0</v>
      </c>
      <c r="GM25">
        <f t="shared" si="35"/>
        <v>8745.97</v>
      </c>
      <c r="GN25">
        <f t="shared" si="36"/>
        <v>8745.97</v>
      </c>
      <c r="GO25">
        <f t="shared" si="37"/>
        <v>0</v>
      </c>
      <c r="GP25">
        <f t="shared" si="38"/>
        <v>0</v>
      </c>
      <c r="GR25">
        <v>0</v>
      </c>
    </row>
    <row r="26" spans="1:200" ht="12.75">
      <c r="A26">
        <v>17</v>
      </c>
      <c r="B26">
        <v>1</v>
      </c>
      <c r="C26">
        <f>ROW(SmtRes!A15)</f>
        <v>15</v>
      </c>
      <c r="D26">
        <f>ROW(EtalonRes!A13)</f>
        <v>13</v>
      </c>
      <c r="E26" t="s">
        <v>29</v>
      </c>
      <c r="F26" t="s">
        <v>30</v>
      </c>
      <c r="G26" t="s">
        <v>31</v>
      </c>
      <c r="H26" t="s">
        <v>32</v>
      </c>
      <c r="I26">
        <v>1</v>
      </c>
      <c r="J26">
        <v>0</v>
      </c>
      <c r="O26">
        <f t="shared" si="10"/>
        <v>160.64</v>
      </c>
      <c r="P26">
        <f t="shared" si="11"/>
        <v>15.64</v>
      </c>
      <c r="Q26">
        <f t="shared" si="12"/>
        <v>46.53</v>
      </c>
      <c r="R26">
        <f t="shared" si="13"/>
        <v>8.98</v>
      </c>
      <c r="S26">
        <f t="shared" si="14"/>
        <v>98.47</v>
      </c>
      <c r="T26">
        <f t="shared" si="15"/>
        <v>0</v>
      </c>
      <c r="U26">
        <f t="shared" si="16"/>
        <v>7.3752949999999995</v>
      </c>
      <c r="V26">
        <f t="shared" si="17"/>
        <v>0</v>
      </c>
      <c r="W26">
        <f t="shared" si="18"/>
        <v>0</v>
      </c>
      <c r="X26">
        <f t="shared" si="19"/>
        <v>109.3</v>
      </c>
      <c r="Y26">
        <f t="shared" si="20"/>
        <v>74.84</v>
      </c>
      <c r="AA26">
        <v>22535680</v>
      </c>
      <c r="AB26">
        <f t="shared" si="21"/>
        <v>149.01999999999998</v>
      </c>
      <c r="AC26">
        <f>(ES26)</f>
        <v>15.62</v>
      </c>
      <c r="AD26">
        <f>(((ET26*1.15)*1.25))</f>
        <v>42.80875</v>
      </c>
      <c r="AE26">
        <f>(((EU26*1.15)*1.25))</f>
        <v>8.265625</v>
      </c>
      <c r="AF26">
        <f>(((EV26*1.15)*1.15))</f>
        <v>90.59124999999999</v>
      </c>
      <c r="AG26">
        <f>(AP26)</f>
        <v>0</v>
      </c>
      <c r="AH26">
        <f>((EW26*1.15))</f>
        <v>6.785</v>
      </c>
      <c r="AI26">
        <f>(((EX26*1.15)*1.25))</f>
        <v>0</v>
      </c>
      <c r="AJ26">
        <f>(AS26)</f>
        <v>0</v>
      </c>
      <c r="AK26">
        <v>113.9</v>
      </c>
      <c r="AL26">
        <v>15.62</v>
      </c>
      <c r="AM26">
        <v>29.78</v>
      </c>
      <c r="AN26">
        <v>5.75</v>
      </c>
      <c r="AO26">
        <v>68.5</v>
      </c>
      <c r="AP26">
        <v>0</v>
      </c>
      <c r="AQ26">
        <v>5.9</v>
      </c>
      <c r="AR26">
        <v>0</v>
      </c>
      <c r="AS26">
        <v>0</v>
      </c>
      <c r="AT26">
        <v>111</v>
      </c>
      <c r="AU26">
        <v>76</v>
      </c>
      <c r="AV26">
        <v>1.087</v>
      </c>
      <c r="AW26">
        <v>1.001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33</v>
      </c>
      <c r="BM26">
        <v>96</v>
      </c>
      <c r="BN26">
        <v>0</v>
      </c>
      <c r="BO26" t="s">
        <v>30</v>
      </c>
      <c r="BP26">
        <v>1</v>
      </c>
      <c r="BQ26">
        <v>30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111</v>
      </c>
      <c r="CA26">
        <v>76</v>
      </c>
      <c r="CF26">
        <v>0</v>
      </c>
      <c r="CG26">
        <v>0</v>
      </c>
      <c r="CM26">
        <v>0</v>
      </c>
      <c r="CO26">
        <v>0</v>
      </c>
      <c r="CP26">
        <f t="shared" si="22"/>
        <v>160.64</v>
      </c>
      <c r="CQ26">
        <f t="shared" si="23"/>
        <v>15.635619999999998</v>
      </c>
      <c r="CR26">
        <f t="shared" si="24"/>
        <v>46.533111250000005</v>
      </c>
      <c r="CS26">
        <f t="shared" si="25"/>
        <v>8.984734375</v>
      </c>
      <c r="CT26">
        <f t="shared" si="26"/>
        <v>98.47268874999999</v>
      </c>
      <c r="CU26">
        <f t="shared" si="27"/>
        <v>0</v>
      </c>
      <c r="CV26">
        <f t="shared" si="28"/>
        <v>7.3752949999999995</v>
      </c>
      <c r="CW26">
        <f t="shared" si="29"/>
        <v>0</v>
      </c>
      <c r="CX26">
        <f t="shared" si="30"/>
        <v>0</v>
      </c>
      <c r="CY26">
        <f t="shared" si="31"/>
        <v>109.30170000000001</v>
      </c>
      <c r="CZ26">
        <f t="shared" si="32"/>
        <v>74.8372</v>
      </c>
      <c r="DE26" t="s">
        <v>18</v>
      </c>
      <c r="DF26" t="s">
        <v>18</v>
      </c>
      <c r="DG26" t="s">
        <v>19</v>
      </c>
      <c r="DI26" t="s">
        <v>20</v>
      </c>
      <c r="DJ26" t="s">
        <v>18</v>
      </c>
      <c r="DN26">
        <v>120</v>
      </c>
      <c r="DO26">
        <v>84</v>
      </c>
      <c r="DP26">
        <v>1.087</v>
      </c>
      <c r="DQ26">
        <v>1.001</v>
      </c>
      <c r="DU26">
        <v>1003</v>
      </c>
      <c r="DV26" t="s">
        <v>32</v>
      </c>
      <c r="DW26" t="s">
        <v>32</v>
      </c>
      <c r="DX26">
        <v>100</v>
      </c>
      <c r="EE26">
        <v>22534578</v>
      </c>
      <c r="EF26">
        <v>30</v>
      </c>
      <c r="EG26" t="s">
        <v>21</v>
      </c>
      <c r="EH26">
        <v>0</v>
      </c>
      <c r="EJ26">
        <v>1</v>
      </c>
      <c r="EK26">
        <v>96</v>
      </c>
      <c r="EL26" t="s">
        <v>22</v>
      </c>
      <c r="EM26" t="s">
        <v>23</v>
      </c>
      <c r="EQ26">
        <v>0</v>
      </c>
      <c r="ER26">
        <v>113.9</v>
      </c>
      <c r="ES26">
        <v>15.62</v>
      </c>
      <c r="ET26">
        <v>29.78</v>
      </c>
      <c r="EU26">
        <v>5.75</v>
      </c>
      <c r="EV26">
        <v>68.5</v>
      </c>
      <c r="EW26">
        <v>5.9</v>
      </c>
      <c r="EX26">
        <v>0</v>
      </c>
      <c r="EY26">
        <v>0</v>
      </c>
      <c r="EZ26">
        <v>0</v>
      </c>
      <c r="FQ26">
        <v>0</v>
      </c>
      <c r="FR26">
        <f t="shared" si="33"/>
        <v>0</v>
      </c>
      <c r="FS26">
        <v>0</v>
      </c>
      <c r="FX26">
        <v>111</v>
      </c>
      <c r="FY26">
        <v>76</v>
      </c>
      <c r="GG26">
        <v>2</v>
      </c>
      <c r="GH26">
        <v>0</v>
      </c>
      <c r="GI26">
        <v>0</v>
      </c>
      <c r="GJ26">
        <v>0</v>
      </c>
      <c r="GK26">
        <f>ROUND(R26*(R12)/100,2)</f>
        <v>16.16</v>
      </c>
      <c r="GL26">
        <f t="shared" si="34"/>
        <v>0</v>
      </c>
      <c r="GM26">
        <f t="shared" si="35"/>
        <v>360.94</v>
      </c>
      <c r="GN26">
        <f t="shared" si="36"/>
        <v>360.94</v>
      </c>
      <c r="GO26">
        <f t="shared" si="37"/>
        <v>0</v>
      </c>
      <c r="GP26">
        <f t="shared" si="38"/>
        <v>0</v>
      </c>
      <c r="GR26">
        <v>0</v>
      </c>
    </row>
    <row r="27" spans="1:200" ht="12.75">
      <c r="A27">
        <v>18</v>
      </c>
      <c r="B27">
        <v>1</v>
      </c>
      <c r="C27">
        <v>15</v>
      </c>
      <c r="E27" t="s">
        <v>34</v>
      </c>
      <c r="F27" t="s">
        <v>35</v>
      </c>
      <c r="G27" t="s">
        <v>36</v>
      </c>
      <c r="H27" t="s">
        <v>27</v>
      </c>
      <c r="I27">
        <f>I26*J27</f>
        <v>0.3</v>
      </c>
      <c r="J27">
        <v>0.3</v>
      </c>
      <c r="O27">
        <f t="shared" si="10"/>
        <v>4468.9</v>
      </c>
      <c r="P27">
        <f t="shared" si="11"/>
        <v>4468.9</v>
      </c>
      <c r="Q27">
        <f t="shared" si="12"/>
        <v>0</v>
      </c>
      <c r="R27">
        <f t="shared" si="13"/>
        <v>0</v>
      </c>
      <c r="S27">
        <f t="shared" si="14"/>
        <v>0</v>
      </c>
      <c r="T27">
        <f t="shared" si="15"/>
        <v>0</v>
      </c>
      <c r="U27">
        <f t="shared" si="16"/>
        <v>0</v>
      </c>
      <c r="V27">
        <f t="shared" si="17"/>
        <v>0</v>
      </c>
      <c r="W27">
        <f t="shared" si="18"/>
        <v>0</v>
      </c>
      <c r="X27">
        <f t="shared" si="19"/>
        <v>0</v>
      </c>
      <c r="Y27">
        <f t="shared" si="20"/>
        <v>0</v>
      </c>
      <c r="AA27">
        <v>22535680</v>
      </c>
      <c r="AB27">
        <f t="shared" si="21"/>
        <v>14881.46</v>
      </c>
      <c r="AC27">
        <f>AL27</f>
        <v>14881.46</v>
      </c>
      <c r="AD27">
        <f>(AM27*1.15)</f>
        <v>0</v>
      </c>
      <c r="AE27">
        <f>(AN27*1.15)</f>
        <v>0</v>
      </c>
      <c r="AF27">
        <f>(AO27*1.15)</f>
        <v>0</v>
      </c>
      <c r="AG27">
        <f>AP27</f>
        <v>0</v>
      </c>
      <c r="AH27">
        <f>(AQ27*1.15)</f>
        <v>0</v>
      </c>
      <c r="AI27">
        <f>(AR27*1.15)</f>
        <v>0</v>
      </c>
      <c r="AJ27">
        <f>AS27</f>
        <v>0</v>
      </c>
      <c r="AK27">
        <v>14881.46</v>
      </c>
      <c r="AL27">
        <v>14881.46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1.087</v>
      </c>
      <c r="AW27">
        <v>1.001</v>
      </c>
      <c r="AZ27">
        <v>1</v>
      </c>
      <c r="BA27">
        <v>1</v>
      </c>
      <c r="BB27">
        <v>1</v>
      </c>
      <c r="BC27">
        <v>1</v>
      </c>
      <c r="BH27">
        <v>3</v>
      </c>
      <c r="BI27">
        <v>1</v>
      </c>
      <c r="BJ27" t="s">
        <v>37</v>
      </c>
      <c r="BM27">
        <v>96</v>
      </c>
      <c r="BN27">
        <v>0</v>
      </c>
      <c r="BO27" t="s">
        <v>35</v>
      </c>
      <c r="BP27">
        <v>1</v>
      </c>
      <c r="BQ27">
        <v>30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0</v>
      </c>
      <c r="CA27">
        <v>0</v>
      </c>
      <c r="CF27">
        <v>0</v>
      </c>
      <c r="CG27">
        <v>0</v>
      </c>
      <c r="CM27">
        <v>0</v>
      </c>
      <c r="CO27">
        <v>0</v>
      </c>
      <c r="CP27">
        <f t="shared" si="22"/>
        <v>4468.9</v>
      </c>
      <c r="CQ27">
        <f t="shared" si="23"/>
        <v>14896.341459999998</v>
      </c>
      <c r="CR27">
        <f t="shared" si="24"/>
        <v>0</v>
      </c>
      <c r="CS27">
        <f t="shared" si="25"/>
        <v>0</v>
      </c>
      <c r="CT27">
        <f t="shared" si="26"/>
        <v>0</v>
      </c>
      <c r="CU27">
        <f t="shared" si="27"/>
        <v>0</v>
      </c>
      <c r="CV27">
        <f t="shared" si="28"/>
        <v>0</v>
      </c>
      <c r="CW27">
        <f t="shared" si="29"/>
        <v>0</v>
      </c>
      <c r="CX27">
        <f t="shared" si="30"/>
        <v>0</v>
      </c>
      <c r="CY27">
        <f t="shared" si="31"/>
        <v>0</v>
      </c>
      <c r="CZ27">
        <f t="shared" si="32"/>
        <v>0</v>
      </c>
      <c r="DE27" t="s">
        <v>20</v>
      </c>
      <c r="DF27" t="s">
        <v>20</v>
      </c>
      <c r="DG27" t="s">
        <v>20</v>
      </c>
      <c r="DI27" t="s">
        <v>20</v>
      </c>
      <c r="DJ27" t="s">
        <v>20</v>
      </c>
      <c r="DN27">
        <v>120</v>
      </c>
      <c r="DO27">
        <v>84</v>
      </c>
      <c r="DP27">
        <v>1.087</v>
      </c>
      <c r="DQ27">
        <v>1.001</v>
      </c>
      <c r="DU27">
        <v>1009</v>
      </c>
      <c r="DV27" t="s">
        <v>27</v>
      </c>
      <c r="DW27" t="s">
        <v>27</v>
      </c>
      <c r="DX27">
        <v>1000</v>
      </c>
      <c r="EE27">
        <v>22534578</v>
      </c>
      <c r="EF27">
        <v>30</v>
      </c>
      <c r="EG27" t="s">
        <v>21</v>
      </c>
      <c r="EH27">
        <v>0</v>
      </c>
      <c r="EJ27">
        <v>1</v>
      </c>
      <c r="EK27">
        <v>96</v>
      </c>
      <c r="EL27" t="s">
        <v>22</v>
      </c>
      <c r="EM27" t="s">
        <v>23</v>
      </c>
      <c r="EQ27">
        <v>0</v>
      </c>
      <c r="ER27">
        <v>14881.46</v>
      </c>
      <c r="ES27">
        <v>14881.46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0</v>
      </c>
      <c r="FQ27">
        <v>0</v>
      </c>
      <c r="FR27">
        <f t="shared" si="33"/>
        <v>0</v>
      </c>
      <c r="FS27">
        <v>0</v>
      </c>
      <c r="FX27">
        <v>0</v>
      </c>
      <c r="FY27">
        <v>0</v>
      </c>
      <c r="GG27">
        <v>2</v>
      </c>
      <c r="GH27">
        <v>0</v>
      </c>
      <c r="GI27">
        <v>0</v>
      </c>
      <c r="GJ27">
        <v>0</v>
      </c>
      <c r="GK27">
        <f>ROUND(R27*(R12)/100,2)</f>
        <v>0</v>
      </c>
      <c r="GL27">
        <f t="shared" si="34"/>
        <v>0</v>
      </c>
      <c r="GM27">
        <f t="shared" si="35"/>
        <v>4468.9</v>
      </c>
      <c r="GN27">
        <f t="shared" si="36"/>
        <v>4468.9</v>
      </c>
      <c r="GO27">
        <f t="shared" si="37"/>
        <v>0</v>
      </c>
      <c r="GP27">
        <f t="shared" si="38"/>
        <v>0</v>
      </c>
      <c r="GR27">
        <v>0</v>
      </c>
    </row>
    <row r="28" spans="1:200" ht="12.75">
      <c r="A28">
        <v>17</v>
      </c>
      <c r="B28">
        <v>1</v>
      </c>
      <c r="C28">
        <f>ROW(SmtRes!A18)</f>
        <v>18</v>
      </c>
      <c r="D28">
        <f>ROW(EtalonRes!A15)</f>
        <v>15</v>
      </c>
      <c r="E28" t="s">
        <v>38</v>
      </c>
      <c r="F28" t="s">
        <v>39</v>
      </c>
      <c r="G28" t="s">
        <v>40</v>
      </c>
      <c r="H28" t="s">
        <v>32</v>
      </c>
      <c r="I28">
        <v>1</v>
      </c>
      <c r="J28">
        <v>0</v>
      </c>
      <c r="O28">
        <f t="shared" si="10"/>
        <v>139.84</v>
      </c>
      <c r="P28">
        <f t="shared" si="11"/>
        <v>0</v>
      </c>
      <c r="Q28">
        <f t="shared" si="12"/>
        <v>0</v>
      </c>
      <c r="R28">
        <f t="shared" si="13"/>
        <v>0</v>
      </c>
      <c r="S28">
        <f t="shared" si="14"/>
        <v>139.84</v>
      </c>
      <c r="T28">
        <f t="shared" si="15"/>
        <v>0</v>
      </c>
      <c r="U28">
        <f t="shared" si="16"/>
        <v>13.292711999999996</v>
      </c>
      <c r="V28">
        <f t="shared" si="17"/>
        <v>0</v>
      </c>
      <c r="W28">
        <f t="shared" si="18"/>
        <v>0</v>
      </c>
      <c r="X28">
        <f t="shared" si="19"/>
        <v>120.26</v>
      </c>
      <c r="Y28">
        <f t="shared" si="20"/>
        <v>74.12</v>
      </c>
      <c r="AA28">
        <v>22535680</v>
      </c>
      <c r="AB28">
        <f t="shared" si="21"/>
        <v>133.56099999999998</v>
      </c>
      <c r="AC28">
        <f>(ES28)</f>
        <v>0</v>
      </c>
      <c r="AD28">
        <f aca="true" t="shared" si="39" ref="AD28:AF29">((ET28*1.15))</f>
        <v>0</v>
      </c>
      <c r="AE28">
        <f t="shared" si="39"/>
        <v>0</v>
      </c>
      <c r="AF28">
        <f t="shared" si="39"/>
        <v>133.56099999999998</v>
      </c>
      <c r="AG28">
        <f>(AP28)</f>
        <v>0</v>
      </c>
      <c r="AH28">
        <f>((EW28*1.15))</f>
        <v>12.695999999999998</v>
      </c>
      <c r="AI28">
        <f>((EX28*1.15))</f>
        <v>0</v>
      </c>
      <c r="AJ28">
        <f>(AS28)</f>
        <v>0</v>
      </c>
      <c r="AK28">
        <v>116.14</v>
      </c>
      <c r="AL28">
        <v>0</v>
      </c>
      <c r="AM28">
        <v>0</v>
      </c>
      <c r="AN28">
        <v>0</v>
      </c>
      <c r="AO28">
        <v>116.14</v>
      </c>
      <c r="AP28">
        <v>0</v>
      </c>
      <c r="AQ28">
        <v>11.04</v>
      </c>
      <c r="AR28">
        <v>0</v>
      </c>
      <c r="AS28">
        <v>0</v>
      </c>
      <c r="AT28">
        <v>86</v>
      </c>
      <c r="AU28">
        <v>53</v>
      </c>
      <c r="AV28">
        <v>1.047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41</v>
      </c>
      <c r="BM28">
        <v>441</v>
      </c>
      <c r="BN28">
        <v>0</v>
      </c>
      <c r="BO28" t="s">
        <v>39</v>
      </c>
      <c r="BP28">
        <v>1</v>
      </c>
      <c r="BQ28">
        <v>60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86</v>
      </c>
      <c r="CA28">
        <v>53</v>
      </c>
      <c r="CF28">
        <v>0</v>
      </c>
      <c r="CG28">
        <v>0</v>
      </c>
      <c r="CM28">
        <v>0</v>
      </c>
      <c r="CO28">
        <v>0</v>
      </c>
      <c r="CP28">
        <f t="shared" si="22"/>
        <v>139.84</v>
      </c>
      <c r="CQ28">
        <f t="shared" si="23"/>
        <v>0</v>
      </c>
      <c r="CR28">
        <f t="shared" si="24"/>
        <v>0</v>
      </c>
      <c r="CS28">
        <f t="shared" si="25"/>
        <v>0</v>
      </c>
      <c r="CT28">
        <f t="shared" si="26"/>
        <v>139.83836699999998</v>
      </c>
      <c r="CU28">
        <f t="shared" si="27"/>
        <v>0</v>
      </c>
      <c r="CV28">
        <f t="shared" si="28"/>
        <v>13.292711999999996</v>
      </c>
      <c r="CW28">
        <f t="shared" si="29"/>
        <v>0</v>
      </c>
      <c r="CX28">
        <f t="shared" si="30"/>
        <v>0</v>
      </c>
      <c r="CY28">
        <f t="shared" si="31"/>
        <v>120.2624</v>
      </c>
      <c r="CZ28">
        <f t="shared" si="32"/>
        <v>74.1152</v>
      </c>
      <c r="DE28" t="s">
        <v>20</v>
      </c>
      <c r="DF28" t="s">
        <v>20</v>
      </c>
      <c r="DG28" t="s">
        <v>20</v>
      </c>
      <c r="DI28" t="s">
        <v>20</v>
      </c>
      <c r="DJ28" t="s">
        <v>20</v>
      </c>
      <c r="DN28">
        <v>80</v>
      </c>
      <c r="DO28">
        <v>55</v>
      </c>
      <c r="DP28">
        <v>1.047</v>
      </c>
      <c r="DQ28">
        <v>1</v>
      </c>
      <c r="DU28">
        <v>1003</v>
      </c>
      <c r="DV28" t="s">
        <v>32</v>
      </c>
      <c r="DW28" t="s">
        <v>32</v>
      </c>
      <c r="DX28">
        <v>100</v>
      </c>
      <c r="EE28">
        <v>22534923</v>
      </c>
      <c r="EF28">
        <v>60</v>
      </c>
      <c r="EG28" t="s">
        <v>42</v>
      </c>
      <c r="EH28">
        <v>0</v>
      </c>
      <c r="EJ28">
        <v>1</v>
      </c>
      <c r="EK28">
        <v>441</v>
      </c>
      <c r="EL28" t="s">
        <v>43</v>
      </c>
      <c r="EM28" t="s">
        <v>44</v>
      </c>
      <c r="EQ28">
        <v>0</v>
      </c>
      <c r="ER28">
        <v>116.14</v>
      </c>
      <c r="ES28">
        <v>0</v>
      </c>
      <c r="ET28">
        <v>0</v>
      </c>
      <c r="EU28">
        <v>0</v>
      </c>
      <c r="EV28">
        <v>116.14</v>
      </c>
      <c r="EW28">
        <v>11.04</v>
      </c>
      <c r="EX28">
        <v>0</v>
      </c>
      <c r="EY28">
        <v>0</v>
      </c>
      <c r="EZ28">
        <v>0</v>
      </c>
      <c r="FQ28">
        <v>0</v>
      </c>
      <c r="FR28">
        <f t="shared" si="33"/>
        <v>0</v>
      </c>
      <c r="FS28">
        <v>0</v>
      </c>
      <c r="FX28">
        <v>86</v>
      </c>
      <c r="FY28">
        <v>53</v>
      </c>
      <c r="GG28">
        <v>2</v>
      </c>
      <c r="GH28">
        <v>0</v>
      </c>
      <c r="GI28">
        <v>0</v>
      </c>
      <c r="GJ28">
        <v>0</v>
      </c>
      <c r="GK28">
        <f>ROUND(R28*(R12)/100,2)</f>
        <v>0</v>
      </c>
      <c r="GL28">
        <f t="shared" si="34"/>
        <v>0</v>
      </c>
      <c r="GM28">
        <f t="shared" si="35"/>
        <v>334.22</v>
      </c>
      <c r="GN28">
        <f t="shared" si="36"/>
        <v>334.22</v>
      </c>
      <c r="GO28">
        <f t="shared" si="37"/>
        <v>0</v>
      </c>
      <c r="GP28">
        <f t="shared" si="38"/>
        <v>0</v>
      </c>
      <c r="GR28">
        <v>0</v>
      </c>
    </row>
    <row r="29" spans="1:200" ht="12.75">
      <c r="A29">
        <v>17</v>
      </c>
      <c r="B29">
        <v>1</v>
      </c>
      <c r="C29">
        <f>ROW(SmtRes!A23)</f>
        <v>23</v>
      </c>
      <c r="D29">
        <f>ROW(EtalonRes!A19)</f>
        <v>19</v>
      </c>
      <c r="E29" t="s">
        <v>45</v>
      </c>
      <c r="F29" t="s">
        <v>46</v>
      </c>
      <c r="G29" t="s">
        <v>47</v>
      </c>
      <c r="H29" t="s">
        <v>32</v>
      </c>
      <c r="I29">
        <v>1</v>
      </c>
      <c r="J29">
        <v>0</v>
      </c>
      <c r="O29">
        <f t="shared" si="10"/>
        <v>1208.82</v>
      </c>
      <c r="P29">
        <f t="shared" si="11"/>
        <v>653.36</v>
      </c>
      <c r="Q29">
        <f t="shared" si="12"/>
        <v>2.69</v>
      </c>
      <c r="R29">
        <f t="shared" si="13"/>
        <v>0.11</v>
      </c>
      <c r="S29">
        <f t="shared" si="14"/>
        <v>552.77</v>
      </c>
      <c r="T29">
        <f t="shared" si="15"/>
        <v>0</v>
      </c>
      <c r="U29">
        <f t="shared" si="16"/>
        <v>43.801752</v>
      </c>
      <c r="V29">
        <f t="shared" si="17"/>
        <v>0</v>
      </c>
      <c r="W29">
        <f t="shared" si="18"/>
        <v>0</v>
      </c>
      <c r="X29">
        <f t="shared" si="19"/>
        <v>613.57</v>
      </c>
      <c r="Y29">
        <f t="shared" si="20"/>
        <v>420.11</v>
      </c>
      <c r="AA29">
        <v>22535680</v>
      </c>
      <c r="AB29">
        <f t="shared" si="21"/>
        <v>1163.7125</v>
      </c>
      <c r="AC29">
        <f>(ES29)</f>
        <v>652.71</v>
      </c>
      <c r="AD29">
        <f t="shared" si="39"/>
        <v>2.4724999999999997</v>
      </c>
      <c r="AE29">
        <f t="shared" si="39"/>
        <v>0.1035</v>
      </c>
      <c r="AF29">
        <f t="shared" si="39"/>
        <v>508.53</v>
      </c>
      <c r="AG29">
        <f>(AP29)</f>
        <v>0</v>
      </c>
      <c r="AH29">
        <f>((EW29*1.15))</f>
        <v>40.296</v>
      </c>
      <c r="AI29">
        <f>((EX29*1.15))</f>
        <v>0</v>
      </c>
      <c r="AJ29">
        <f>(AS29)</f>
        <v>0</v>
      </c>
      <c r="AK29">
        <v>1097.06</v>
      </c>
      <c r="AL29">
        <v>652.71</v>
      </c>
      <c r="AM29">
        <v>2.15</v>
      </c>
      <c r="AN29">
        <v>0.09</v>
      </c>
      <c r="AO29">
        <v>442.2</v>
      </c>
      <c r="AP29">
        <v>0</v>
      </c>
      <c r="AQ29">
        <v>35.04</v>
      </c>
      <c r="AR29">
        <v>0</v>
      </c>
      <c r="AS29">
        <v>0</v>
      </c>
      <c r="AT29">
        <v>111</v>
      </c>
      <c r="AU29">
        <v>76</v>
      </c>
      <c r="AV29">
        <v>1.087</v>
      </c>
      <c r="AW29">
        <v>1.001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48</v>
      </c>
      <c r="BM29">
        <v>442</v>
      </c>
      <c r="BN29">
        <v>0</v>
      </c>
      <c r="BO29" t="s">
        <v>46</v>
      </c>
      <c r="BP29">
        <v>1</v>
      </c>
      <c r="BQ29">
        <v>60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111</v>
      </c>
      <c r="CA29">
        <v>76</v>
      </c>
      <c r="CF29">
        <v>0</v>
      </c>
      <c r="CG29">
        <v>0</v>
      </c>
      <c r="CM29">
        <v>0</v>
      </c>
      <c r="CO29">
        <v>0</v>
      </c>
      <c r="CP29">
        <f t="shared" si="22"/>
        <v>1208.8200000000002</v>
      </c>
      <c r="CQ29">
        <f t="shared" si="23"/>
        <v>653.36271</v>
      </c>
      <c r="CR29">
        <f t="shared" si="24"/>
        <v>2.6876074999999995</v>
      </c>
      <c r="CS29">
        <f t="shared" si="25"/>
        <v>0.1125045</v>
      </c>
      <c r="CT29">
        <f t="shared" si="26"/>
        <v>552.77211</v>
      </c>
      <c r="CU29">
        <f t="shared" si="27"/>
        <v>0</v>
      </c>
      <c r="CV29">
        <f t="shared" si="28"/>
        <v>43.801752</v>
      </c>
      <c r="CW29">
        <f t="shared" si="29"/>
        <v>0</v>
      </c>
      <c r="CX29">
        <f t="shared" si="30"/>
        <v>0</v>
      </c>
      <c r="CY29">
        <f t="shared" si="31"/>
        <v>613.5747</v>
      </c>
      <c r="CZ29">
        <f t="shared" si="32"/>
        <v>420.10519999999997</v>
      </c>
      <c r="DE29" t="s">
        <v>20</v>
      </c>
      <c r="DF29" t="s">
        <v>20</v>
      </c>
      <c r="DG29" t="s">
        <v>20</v>
      </c>
      <c r="DI29" t="s">
        <v>20</v>
      </c>
      <c r="DJ29" t="s">
        <v>20</v>
      </c>
      <c r="DN29">
        <v>104</v>
      </c>
      <c r="DO29">
        <v>79</v>
      </c>
      <c r="DP29">
        <v>1.087</v>
      </c>
      <c r="DQ29">
        <v>1.001</v>
      </c>
      <c r="DU29">
        <v>1003</v>
      </c>
      <c r="DV29" t="s">
        <v>32</v>
      </c>
      <c r="DW29" t="s">
        <v>32</v>
      </c>
      <c r="DX29">
        <v>100</v>
      </c>
      <c r="EE29">
        <v>22534924</v>
      </c>
      <c r="EF29">
        <v>60</v>
      </c>
      <c r="EG29" t="s">
        <v>42</v>
      </c>
      <c r="EH29">
        <v>0</v>
      </c>
      <c r="EJ29">
        <v>1</v>
      </c>
      <c r="EK29">
        <v>442</v>
      </c>
      <c r="EL29" t="s">
        <v>49</v>
      </c>
      <c r="EM29" t="s">
        <v>50</v>
      </c>
      <c r="EQ29">
        <v>0</v>
      </c>
      <c r="ER29">
        <v>1097.06</v>
      </c>
      <c r="ES29">
        <v>652.71</v>
      </c>
      <c r="ET29">
        <v>2.15</v>
      </c>
      <c r="EU29">
        <v>0.09</v>
      </c>
      <c r="EV29">
        <v>442.2</v>
      </c>
      <c r="EW29">
        <v>35.04</v>
      </c>
      <c r="EX29">
        <v>0</v>
      </c>
      <c r="EY29">
        <v>0</v>
      </c>
      <c r="EZ29">
        <v>0</v>
      </c>
      <c r="FQ29">
        <v>0</v>
      </c>
      <c r="FR29">
        <f t="shared" si="33"/>
        <v>0</v>
      </c>
      <c r="FS29">
        <v>0</v>
      </c>
      <c r="FX29">
        <v>111</v>
      </c>
      <c r="FY29">
        <v>76</v>
      </c>
      <c r="GG29">
        <v>2</v>
      </c>
      <c r="GH29">
        <v>0</v>
      </c>
      <c r="GI29">
        <v>0</v>
      </c>
      <c r="GJ29">
        <v>0</v>
      </c>
      <c r="GK29">
        <f>ROUND(R29*(R12)/100,2)</f>
        <v>0.2</v>
      </c>
      <c r="GL29">
        <f t="shared" si="34"/>
        <v>0</v>
      </c>
      <c r="GM29">
        <f t="shared" si="35"/>
        <v>2242.7</v>
      </c>
      <c r="GN29">
        <f t="shared" si="36"/>
        <v>2242.7</v>
      </c>
      <c r="GO29">
        <f t="shared" si="37"/>
        <v>0</v>
      </c>
      <c r="GP29">
        <f t="shared" si="38"/>
        <v>0</v>
      </c>
      <c r="GR29">
        <v>0</v>
      </c>
    </row>
    <row r="30" spans="1:200" ht="12.75">
      <c r="A30">
        <v>18</v>
      </c>
      <c r="B30">
        <v>1</v>
      </c>
      <c r="C30">
        <v>21</v>
      </c>
      <c r="E30" t="s">
        <v>51</v>
      </c>
      <c r="F30" t="s">
        <v>52</v>
      </c>
      <c r="G30" t="s">
        <v>53</v>
      </c>
      <c r="H30" t="s">
        <v>27</v>
      </c>
      <c r="I30">
        <f>I29*J30</f>
        <v>0.254</v>
      </c>
      <c r="J30">
        <v>0.254</v>
      </c>
      <c r="O30">
        <f t="shared" si="10"/>
        <v>3747.48</v>
      </c>
      <c r="P30">
        <f t="shared" si="11"/>
        <v>3747.48</v>
      </c>
      <c r="Q30">
        <f t="shared" si="12"/>
        <v>0</v>
      </c>
      <c r="R30">
        <f t="shared" si="13"/>
        <v>0</v>
      </c>
      <c r="S30">
        <f t="shared" si="14"/>
        <v>0</v>
      </c>
      <c r="T30">
        <f t="shared" si="15"/>
        <v>0</v>
      </c>
      <c r="U30">
        <f t="shared" si="16"/>
        <v>0</v>
      </c>
      <c r="V30">
        <f t="shared" si="17"/>
        <v>0</v>
      </c>
      <c r="W30">
        <f t="shared" si="18"/>
        <v>0</v>
      </c>
      <c r="X30">
        <f t="shared" si="19"/>
        <v>0</v>
      </c>
      <c r="Y30">
        <f t="shared" si="20"/>
        <v>0</v>
      </c>
      <c r="AA30">
        <v>22535680</v>
      </c>
      <c r="AB30">
        <f t="shared" si="21"/>
        <v>14739.12</v>
      </c>
      <c r="AC30">
        <f>AL30</f>
        <v>14739.12</v>
      </c>
      <c r="AD30">
        <f>(AM30*1.15)</f>
        <v>0</v>
      </c>
      <c r="AE30">
        <f>(AN30*1.15)</f>
        <v>0</v>
      </c>
      <c r="AF30">
        <f>(AO30*1.15)</f>
        <v>0</v>
      </c>
      <c r="AG30">
        <f>AP30</f>
        <v>0</v>
      </c>
      <c r="AH30">
        <f>(AQ30*1.15)</f>
        <v>0</v>
      </c>
      <c r="AI30">
        <f>(AR30*1.15)</f>
        <v>0</v>
      </c>
      <c r="AJ30">
        <f>AS30</f>
        <v>0</v>
      </c>
      <c r="AK30">
        <v>14739.12</v>
      </c>
      <c r="AL30">
        <v>14739.12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1.087</v>
      </c>
      <c r="AW30">
        <v>1.001</v>
      </c>
      <c r="AZ30">
        <v>1</v>
      </c>
      <c r="BA30">
        <v>1</v>
      </c>
      <c r="BB30">
        <v>1</v>
      </c>
      <c r="BC30">
        <v>1</v>
      </c>
      <c r="BH30">
        <v>3</v>
      </c>
      <c r="BI30">
        <v>1</v>
      </c>
      <c r="BJ30" t="s">
        <v>54</v>
      </c>
      <c r="BM30">
        <v>442</v>
      </c>
      <c r="BN30">
        <v>0</v>
      </c>
      <c r="BO30" t="s">
        <v>52</v>
      </c>
      <c r="BP30">
        <v>1</v>
      </c>
      <c r="BQ30">
        <v>60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 t="shared" si="22"/>
        <v>3747.48</v>
      </c>
      <c r="CQ30">
        <f t="shared" si="23"/>
        <v>14753.85912</v>
      </c>
      <c r="CR30">
        <f t="shared" si="24"/>
        <v>0</v>
      </c>
      <c r="CS30">
        <f t="shared" si="25"/>
        <v>0</v>
      </c>
      <c r="CT30">
        <f t="shared" si="26"/>
        <v>0</v>
      </c>
      <c r="CU30">
        <f t="shared" si="27"/>
        <v>0</v>
      </c>
      <c r="CV30">
        <f t="shared" si="28"/>
        <v>0</v>
      </c>
      <c r="CW30">
        <f t="shared" si="29"/>
        <v>0</v>
      </c>
      <c r="CX30">
        <f t="shared" si="30"/>
        <v>0</v>
      </c>
      <c r="CY30">
        <f t="shared" si="31"/>
        <v>0</v>
      </c>
      <c r="CZ30">
        <f t="shared" si="32"/>
        <v>0</v>
      </c>
      <c r="DE30" t="s">
        <v>20</v>
      </c>
      <c r="DF30" t="s">
        <v>20</v>
      </c>
      <c r="DG30" t="s">
        <v>20</v>
      </c>
      <c r="DI30" t="s">
        <v>20</v>
      </c>
      <c r="DJ30" t="s">
        <v>20</v>
      </c>
      <c r="DN30">
        <v>104</v>
      </c>
      <c r="DO30">
        <v>79</v>
      </c>
      <c r="DP30">
        <v>1.087</v>
      </c>
      <c r="DQ30">
        <v>1.001</v>
      </c>
      <c r="DU30">
        <v>1009</v>
      </c>
      <c r="DV30" t="s">
        <v>27</v>
      </c>
      <c r="DW30" t="s">
        <v>27</v>
      </c>
      <c r="DX30">
        <v>1000</v>
      </c>
      <c r="EE30">
        <v>22534924</v>
      </c>
      <c r="EF30">
        <v>60</v>
      </c>
      <c r="EG30" t="s">
        <v>42</v>
      </c>
      <c r="EH30">
        <v>0</v>
      </c>
      <c r="EJ30">
        <v>1</v>
      </c>
      <c r="EK30">
        <v>442</v>
      </c>
      <c r="EL30" t="s">
        <v>49</v>
      </c>
      <c r="EM30" t="s">
        <v>50</v>
      </c>
      <c r="EQ30">
        <v>0</v>
      </c>
      <c r="ER30">
        <v>14739.12</v>
      </c>
      <c r="ES30">
        <v>14739.12</v>
      </c>
      <c r="ET30">
        <v>0</v>
      </c>
      <c r="EU30">
        <v>0</v>
      </c>
      <c r="EV30">
        <v>0</v>
      </c>
      <c r="EW30">
        <v>0</v>
      </c>
      <c r="EX30">
        <v>0</v>
      </c>
      <c r="EZ30">
        <v>0</v>
      </c>
      <c r="FQ30">
        <v>0</v>
      </c>
      <c r="FR30">
        <f t="shared" si="33"/>
        <v>0</v>
      </c>
      <c r="FS30">
        <v>0</v>
      </c>
      <c r="FX30">
        <v>0</v>
      </c>
      <c r="FY30">
        <v>0</v>
      </c>
      <c r="GG30">
        <v>2</v>
      </c>
      <c r="GH30">
        <v>0</v>
      </c>
      <c r="GI30">
        <v>0</v>
      </c>
      <c r="GJ30">
        <v>0</v>
      </c>
      <c r="GK30">
        <f>ROUND(R30*(R12)/100,2)</f>
        <v>0</v>
      </c>
      <c r="GL30">
        <f t="shared" si="34"/>
        <v>0</v>
      </c>
      <c r="GM30">
        <f t="shared" si="35"/>
        <v>3747.48</v>
      </c>
      <c r="GN30">
        <f t="shared" si="36"/>
        <v>3747.48</v>
      </c>
      <c r="GO30">
        <f t="shared" si="37"/>
        <v>0</v>
      </c>
      <c r="GP30">
        <f t="shared" si="38"/>
        <v>0</v>
      </c>
      <c r="GR30">
        <v>0</v>
      </c>
    </row>
    <row r="31" spans="1:200" ht="12.75">
      <c r="A31">
        <v>17</v>
      </c>
      <c r="B31">
        <v>1</v>
      </c>
      <c r="C31">
        <f>ROW(SmtRes!A29)</f>
        <v>29</v>
      </c>
      <c r="D31">
        <f>ROW(EtalonRes!A24)</f>
        <v>24</v>
      </c>
      <c r="E31" t="s">
        <v>55</v>
      </c>
      <c r="F31" t="s">
        <v>56</v>
      </c>
      <c r="G31" t="s">
        <v>57</v>
      </c>
      <c r="H31" t="s">
        <v>58</v>
      </c>
      <c r="I31">
        <v>1</v>
      </c>
      <c r="J31">
        <v>0</v>
      </c>
      <c r="O31">
        <f t="shared" si="10"/>
        <v>117.53</v>
      </c>
      <c r="P31">
        <f t="shared" si="11"/>
        <v>53.68</v>
      </c>
      <c r="Q31">
        <f t="shared" si="12"/>
        <v>0.03</v>
      </c>
      <c r="R31">
        <f t="shared" si="13"/>
        <v>0</v>
      </c>
      <c r="S31">
        <f t="shared" si="14"/>
        <v>63.82</v>
      </c>
      <c r="T31">
        <f t="shared" si="15"/>
        <v>0</v>
      </c>
      <c r="U31">
        <f t="shared" si="16"/>
        <v>5.637725499999999</v>
      </c>
      <c r="V31">
        <f t="shared" si="17"/>
        <v>0</v>
      </c>
      <c r="W31">
        <f t="shared" si="18"/>
        <v>0</v>
      </c>
      <c r="X31">
        <f t="shared" si="19"/>
        <v>70.84</v>
      </c>
      <c r="Y31">
        <f t="shared" si="20"/>
        <v>48.5</v>
      </c>
      <c r="AA31">
        <v>22535680</v>
      </c>
      <c r="AB31">
        <f t="shared" si="21"/>
        <v>112.3605</v>
      </c>
      <c r="AC31">
        <f>(ES31)</f>
        <v>53.63</v>
      </c>
      <c r="AD31">
        <f>((ET31*1.15))</f>
        <v>0.023</v>
      </c>
      <c r="AE31">
        <f>((EU31*1.15))</f>
        <v>0</v>
      </c>
      <c r="AF31">
        <f>((EV31*1.15))</f>
        <v>58.70749999999999</v>
      </c>
      <c r="AG31">
        <f>(AP31)</f>
        <v>0</v>
      </c>
      <c r="AH31">
        <f>((EW31*1.15))</f>
        <v>5.1865</v>
      </c>
      <c r="AI31">
        <f>((EX31*1.15))</f>
        <v>0</v>
      </c>
      <c r="AJ31">
        <f>(AS31)</f>
        <v>0</v>
      </c>
      <c r="AK31">
        <v>104.7</v>
      </c>
      <c r="AL31">
        <v>53.63</v>
      </c>
      <c r="AM31">
        <v>0.02</v>
      </c>
      <c r="AN31">
        <v>0</v>
      </c>
      <c r="AO31">
        <v>51.05</v>
      </c>
      <c r="AP31">
        <v>0</v>
      </c>
      <c r="AQ31">
        <v>4.51</v>
      </c>
      <c r="AR31">
        <v>0</v>
      </c>
      <c r="AS31">
        <v>0</v>
      </c>
      <c r="AT31">
        <v>111</v>
      </c>
      <c r="AU31">
        <v>76</v>
      </c>
      <c r="AV31">
        <v>1.087</v>
      </c>
      <c r="AW31">
        <v>1.001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59</v>
      </c>
      <c r="BM31">
        <v>442</v>
      </c>
      <c r="BN31">
        <v>0</v>
      </c>
      <c r="BO31" t="s">
        <v>56</v>
      </c>
      <c r="BP31">
        <v>1</v>
      </c>
      <c r="BQ31">
        <v>60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111</v>
      </c>
      <c r="CA31">
        <v>76</v>
      </c>
      <c r="CF31">
        <v>0</v>
      </c>
      <c r="CG31">
        <v>0</v>
      </c>
      <c r="CM31">
        <v>0</v>
      </c>
      <c r="CO31">
        <v>0</v>
      </c>
      <c r="CP31">
        <f t="shared" si="22"/>
        <v>117.53</v>
      </c>
      <c r="CQ31">
        <f t="shared" si="23"/>
        <v>53.683629999999994</v>
      </c>
      <c r="CR31">
        <f t="shared" si="24"/>
        <v>0.025001</v>
      </c>
      <c r="CS31">
        <f t="shared" si="25"/>
        <v>0</v>
      </c>
      <c r="CT31">
        <f t="shared" si="26"/>
        <v>63.815052499999986</v>
      </c>
      <c r="CU31">
        <f t="shared" si="27"/>
        <v>0</v>
      </c>
      <c r="CV31">
        <f t="shared" si="28"/>
        <v>5.637725499999999</v>
      </c>
      <c r="CW31">
        <f t="shared" si="29"/>
        <v>0</v>
      </c>
      <c r="CX31">
        <f t="shared" si="30"/>
        <v>0</v>
      </c>
      <c r="CY31">
        <f t="shared" si="31"/>
        <v>70.84020000000001</v>
      </c>
      <c r="CZ31">
        <f t="shared" si="32"/>
        <v>48.5032</v>
      </c>
      <c r="DE31" t="s">
        <v>20</v>
      </c>
      <c r="DF31" t="s">
        <v>20</v>
      </c>
      <c r="DG31" t="s">
        <v>20</v>
      </c>
      <c r="DI31" t="s">
        <v>20</v>
      </c>
      <c r="DJ31" t="s">
        <v>20</v>
      </c>
      <c r="DN31">
        <v>104</v>
      </c>
      <c r="DO31">
        <v>79</v>
      </c>
      <c r="DP31">
        <v>1.087</v>
      </c>
      <c r="DQ31">
        <v>1.001</v>
      </c>
      <c r="DU31">
        <v>1010</v>
      </c>
      <c r="DV31" t="s">
        <v>58</v>
      </c>
      <c r="DW31" t="s">
        <v>58</v>
      </c>
      <c r="DX31">
        <v>10</v>
      </c>
      <c r="EE31">
        <v>22534924</v>
      </c>
      <c r="EF31">
        <v>60</v>
      </c>
      <c r="EG31" t="s">
        <v>42</v>
      </c>
      <c r="EH31">
        <v>0</v>
      </c>
      <c r="EJ31">
        <v>1</v>
      </c>
      <c r="EK31">
        <v>442</v>
      </c>
      <c r="EL31" t="s">
        <v>49</v>
      </c>
      <c r="EM31" t="s">
        <v>50</v>
      </c>
      <c r="EQ31">
        <v>0</v>
      </c>
      <c r="ER31">
        <v>104.7</v>
      </c>
      <c r="ES31">
        <v>53.63</v>
      </c>
      <c r="ET31">
        <v>0.02</v>
      </c>
      <c r="EU31">
        <v>0</v>
      </c>
      <c r="EV31">
        <v>51.05</v>
      </c>
      <c r="EW31">
        <v>4.51</v>
      </c>
      <c r="EX31">
        <v>0</v>
      </c>
      <c r="EY31">
        <v>0</v>
      </c>
      <c r="EZ31">
        <v>0</v>
      </c>
      <c r="FQ31">
        <v>0</v>
      </c>
      <c r="FR31">
        <f t="shared" si="33"/>
        <v>0</v>
      </c>
      <c r="FS31">
        <v>0</v>
      </c>
      <c r="FX31">
        <v>111</v>
      </c>
      <c r="FY31">
        <v>76</v>
      </c>
      <c r="GG31">
        <v>2</v>
      </c>
      <c r="GH31">
        <v>0</v>
      </c>
      <c r="GI31">
        <v>0</v>
      </c>
      <c r="GJ31">
        <v>0</v>
      </c>
      <c r="GK31">
        <f>ROUND(R31*(R12)/100,2)</f>
        <v>0</v>
      </c>
      <c r="GL31">
        <f t="shared" si="34"/>
        <v>0</v>
      </c>
      <c r="GM31">
        <f t="shared" si="35"/>
        <v>236.87</v>
      </c>
      <c r="GN31">
        <f t="shared" si="36"/>
        <v>236.87</v>
      </c>
      <c r="GO31">
        <f t="shared" si="37"/>
        <v>0</v>
      </c>
      <c r="GP31">
        <f t="shared" si="38"/>
        <v>0</v>
      </c>
      <c r="GR31">
        <v>0</v>
      </c>
    </row>
    <row r="32" spans="1:200" ht="12.75">
      <c r="A32">
        <v>18</v>
      </c>
      <c r="B32">
        <v>1</v>
      </c>
      <c r="C32">
        <v>27</v>
      </c>
      <c r="E32" t="s">
        <v>60</v>
      </c>
      <c r="F32" t="s">
        <v>52</v>
      </c>
      <c r="G32" t="s">
        <v>53</v>
      </c>
      <c r="H32" t="s">
        <v>27</v>
      </c>
      <c r="I32">
        <f>I31*J32</f>
        <v>0.04</v>
      </c>
      <c r="J32">
        <v>0.04</v>
      </c>
      <c r="O32">
        <f t="shared" si="10"/>
        <v>590.15</v>
      </c>
      <c r="P32">
        <f t="shared" si="11"/>
        <v>590.15</v>
      </c>
      <c r="Q32">
        <f t="shared" si="12"/>
        <v>0</v>
      </c>
      <c r="R32">
        <f t="shared" si="13"/>
        <v>0</v>
      </c>
      <c r="S32">
        <f t="shared" si="14"/>
        <v>0</v>
      </c>
      <c r="T32">
        <f t="shared" si="15"/>
        <v>0</v>
      </c>
      <c r="U32">
        <f t="shared" si="16"/>
        <v>0</v>
      </c>
      <c r="V32">
        <f t="shared" si="17"/>
        <v>0</v>
      </c>
      <c r="W32">
        <f t="shared" si="18"/>
        <v>0</v>
      </c>
      <c r="X32">
        <f t="shared" si="19"/>
        <v>0</v>
      </c>
      <c r="Y32">
        <f t="shared" si="20"/>
        <v>0</v>
      </c>
      <c r="AA32">
        <v>22535680</v>
      </c>
      <c r="AB32">
        <f t="shared" si="21"/>
        <v>14739.12</v>
      </c>
      <c r="AC32">
        <f>AL32</f>
        <v>14739.12</v>
      </c>
      <c r="AD32">
        <f>(AM32*1.15)</f>
        <v>0</v>
      </c>
      <c r="AE32">
        <f>(AN32*1.15)</f>
        <v>0</v>
      </c>
      <c r="AF32">
        <f>(AO32*1.15)</f>
        <v>0</v>
      </c>
      <c r="AG32">
        <f>AP32</f>
        <v>0</v>
      </c>
      <c r="AH32">
        <f>(AQ32*1.15)</f>
        <v>0</v>
      </c>
      <c r="AI32">
        <f>(AR32*1.15)</f>
        <v>0</v>
      </c>
      <c r="AJ32">
        <f>AS32</f>
        <v>0</v>
      </c>
      <c r="AK32">
        <v>14739.12</v>
      </c>
      <c r="AL32">
        <v>14739.12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1.087</v>
      </c>
      <c r="AW32">
        <v>1.001</v>
      </c>
      <c r="AZ32">
        <v>1</v>
      </c>
      <c r="BA32">
        <v>1</v>
      </c>
      <c r="BB32">
        <v>1</v>
      </c>
      <c r="BC32">
        <v>1</v>
      </c>
      <c r="BH32">
        <v>3</v>
      </c>
      <c r="BI32">
        <v>1</v>
      </c>
      <c r="BJ32" t="s">
        <v>54</v>
      </c>
      <c r="BM32">
        <v>442</v>
      </c>
      <c r="BN32">
        <v>0</v>
      </c>
      <c r="BO32" t="s">
        <v>52</v>
      </c>
      <c r="BP32">
        <v>1</v>
      </c>
      <c r="BQ32">
        <v>60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0</v>
      </c>
      <c r="CA32">
        <v>0</v>
      </c>
      <c r="CF32">
        <v>0</v>
      </c>
      <c r="CG32">
        <v>0</v>
      </c>
      <c r="CM32">
        <v>0</v>
      </c>
      <c r="CO32">
        <v>0</v>
      </c>
      <c r="CP32">
        <f t="shared" si="22"/>
        <v>590.15</v>
      </c>
      <c r="CQ32">
        <f t="shared" si="23"/>
        <v>14753.85912</v>
      </c>
      <c r="CR32">
        <f t="shared" si="24"/>
        <v>0</v>
      </c>
      <c r="CS32">
        <f t="shared" si="25"/>
        <v>0</v>
      </c>
      <c r="CT32">
        <f t="shared" si="26"/>
        <v>0</v>
      </c>
      <c r="CU32">
        <f t="shared" si="27"/>
        <v>0</v>
      </c>
      <c r="CV32">
        <f t="shared" si="28"/>
        <v>0</v>
      </c>
      <c r="CW32">
        <f t="shared" si="29"/>
        <v>0</v>
      </c>
      <c r="CX32">
        <f t="shared" si="30"/>
        <v>0</v>
      </c>
      <c r="CY32">
        <f t="shared" si="31"/>
        <v>0</v>
      </c>
      <c r="CZ32">
        <f t="shared" si="32"/>
        <v>0</v>
      </c>
      <c r="DE32" t="s">
        <v>20</v>
      </c>
      <c r="DF32" t="s">
        <v>20</v>
      </c>
      <c r="DG32" t="s">
        <v>20</v>
      </c>
      <c r="DI32" t="s">
        <v>20</v>
      </c>
      <c r="DJ32" t="s">
        <v>20</v>
      </c>
      <c r="DN32">
        <v>104</v>
      </c>
      <c r="DO32">
        <v>79</v>
      </c>
      <c r="DP32">
        <v>1.087</v>
      </c>
      <c r="DQ32">
        <v>1.001</v>
      </c>
      <c r="DU32">
        <v>1009</v>
      </c>
      <c r="DV32" t="s">
        <v>27</v>
      </c>
      <c r="DW32" t="s">
        <v>27</v>
      </c>
      <c r="DX32">
        <v>1000</v>
      </c>
      <c r="EE32">
        <v>22534924</v>
      </c>
      <c r="EF32">
        <v>60</v>
      </c>
      <c r="EG32" t="s">
        <v>42</v>
      </c>
      <c r="EH32">
        <v>0</v>
      </c>
      <c r="EJ32">
        <v>1</v>
      </c>
      <c r="EK32">
        <v>442</v>
      </c>
      <c r="EL32" t="s">
        <v>49</v>
      </c>
      <c r="EM32" t="s">
        <v>50</v>
      </c>
      <c r="EQ32">
        <v>0</v>
      </c>
      <c r="ER32">
        <v>14739.12</v>
      </c>
      <c r="ES32">
        <v>14739.12</v>
      </c>
      <c r="ET32">
        <v>0</v>
      </c>
      <c r="EU32">
        <v>0</v>
      </c>
      <c r="EV32">
        <v>0</v>
      </c>
      <c r="EW32">
        <v>0</v>
      </c>
      <c r="EX32">
        <v>0</v>
      </c>
      <c r="EZ32">
        <v>0</v>
      </c>
      <c r="FQ32">
        <v>0</v>
      </c>
      <c r="FR32">
        <f t="shared" si="33"/>
        <v>0</v>
      </c>
      <c r="FS32">
        <v>0</v>
      </c>
      <c r="FX32">
        <v>0</v>
      </c>
      <c r="FY32">
        <v>0</v>
      </c>
      <c r="GG32">
        <v>2</v>
      </c>
      <c r="GH32">
        <v>0</v>
      </c>
      <c r="GI32">
        <v>0</v>
      </c>
      <c r="GJ32">
        <v>0</v>
      </c>
      <c r="GK32">
        <f>ROUND(R32*(R12)/100,2)</f>
        <v>0</v>
      </c>
      <c r="GL32">
        <f t="shared" si="34"/>
        <v>0</v>
      </c>
      <c r="GM32">
        <f t="shared" si="35"/>
        <v>590.15</v>
      </c>
      <c r="GN32">
        <f t="shared" si="36"/>
        <v>590.15</v>
      </c>
      <c r="GO32">
        <f t="shared" si="37"/>
        <v>0</v>
      </c>
      <c r="GP32">
        <f t="shared" si="38"/>
        <v>0</v>
      </c>
      <c r="GR32">
        <v>0</v>
      </c>
    </row>
    <row r="33" spans="1:200" ht="12.75">
      <c r="A33">
        <v>17</v>
      </c>
      <c r="B33">
        <v>1</v>
      </c>
      <c r="C33">
        <f>ROW(SmtRes!A35)</f>
        <v>35</v>
      </c>
      <c r="D33">
        <f>ROW(EtalonRes!A29)</f>
        <v>29</v>
      </c>
      <c r="E33" t="s">
        <v>61</v>
      </c>
      <c r="F33" t="s">
        <v>62</v>
      </c>
      <c r="G33" t="s">
        <v>63</v>
      </c>
      <c r="H33" t="s">
        <v>58</v>
      </c>
      <c r="I33">
        <v>1</v>
      </c>
      <c r="J33">
        <v>0</v>
      </c>
      <c r="O33">
        <f t="shared" si="10"/>
        <v>93.78</v>
      </c>
      <c r="P33">
        <f t="shared" si="11"/>
        <v>17.9</v>
      </c>
      <c r="Q33">
        <f t="shared" si="12"/>
        <v>0.03</v>
      </c>
      <c r="R33">
        <f t="shared" si="13"/>
        <v>0</v>
      </c>
      <c r="S33">
        <f t="shared" si="14"/>
        <v>75.85</v>
      </c>
      <c r="T33">
        <f t="shared" si="15"/>
        <v>0</v>
      </c>
      <c r="U33">
        <f t="shared" si="16"/>
        <v>6.7002679999999994</v>
      </c>
      <c r="V33">
        <f t="shared" si="17"/>
        <v>0</v>
      </c>
      <c r="W33">
        <f t="shared" si="18"/>
        <v>0</v>
      </c>
      <c r="X33">
        <f t="shared" si="19"/>
        <v>84.19</v>
      </c>
      <c r="Y33">
        <f t="shared" si="20"/>
        <v>57.65</v>
      </c>
      <c r="AA33">
        <v>22535680</v>
      </c>
      <c r="AB33">
        <f t="shared" si="21"/>
        <v>87.685</v>
      </c>
      <c r="AC33">
        <f>(ES33)</f>
        <v>17.88</v>
      </c>
      <c r="AD33">
        <f>((ET33*1.15))</f>
        <v>0.023</v>
      </c>
      <c r="AE33">
        <f>((EU33*1.15))</f>
        <v>0</v>
      </c>
      <c r="AF33">
        <f>((EV33*1.15))</f>
        <v>69.782</v>
      </c>
      <c r="AG33">
        <f>(AP33)</f>
        <v>0</v>
      </c>
      <c r="AH33">
        <f>((EW33*1.15))</f>
        <v>6.164</v>
      </c>
      <c r="AI33">
        <f>((EX33*1.15))</f>
        <v>0</v>
      </c>
      <c r="AJ33">
        <f>(AS33)</f>
        <v>0</v>
      </c>
      <c r="AK33">
        <v>78.58</v>
      </c>
      <c r="AL33">
        <v>17.88</v>
      </c>
      <c r="AM33">
        <v>0.02</v>
      </c>
      <c r="AN33">
        <v>0</v>
      </c>
      <c r="AO33">
        <v>60.68</v>
      </c>
      <c r="AP33">
        <v>0</v>
      </c>
      <c r="AQ33">
        <v>5.36</v>
      </c>
      <c r="AR33">
        <v>0</v>
      </c>
      <c r="AS33">
        <v>0</v>
      </c>
      <c r="AT33">
        <v>111</v>
      </c>
      <c r="AU33">
        <v>76</v>
      </c>
      <c r="AV33">
        <v>1.087</v>
      </c>
      <c r="AW33">
        <v>1.001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1</v>
      </c>
      <c r="BJ33" t="s">
        <v>64</v>
      </c>
      <c r="BM33">
        <v>442</v>
      </c>
      <c r="BN33">
        <v>0</v>
      </c>
      <c r="BO33" t="s">
        <v>62</v>
      </c>
      <c r="BP33">
        <v>1</v>
      </c>
      <c r="BQ33">
        <v>60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111</v>
      </c>
      <c r="CA33">
        <v>76</v>
      </c>
      <c r="CF33">
        <v>0</v>
      </c>
      <c r="CG33">
        <v>0</v>
      </c>
      <c r="CM33">
        <v>0</v>
      </c>
      <c r="CO33">
        <v>0</v>
      </c>
      <c r="CP33">
        <f t="shared" si="22"/>
        <v>93.78</v>
      </c>
      <c r="CQ33">
        <f t="shared" si="23"/>
        <v>17.897879999999997</v>
      </c>
      <c r="CR33">
        <f t="shared" si="24"/>
        <v>0.025001</v>
      </c>
      <c r="CS33">
        <f t="shared" si="25"/>
        <v>0</v>
      </c>
      <c r="CT33">
        <f t="shared" si="26"/>
        <v>75.853034</v>
      </c>
      <c r="CU33">
        <f t="shared" si="27"/>
        <v>0</v>
      </c>
      <c r="CV33">
        <f t="shared" si="28"/>
        <v>6.7002679999999994</v>
      </c>
      <c r="CW33">
        <f t="shared" si="29"/>
        <v>0</v>
      </c>
      <c r="CX33">
        <f t="shared" si="30"/>
        <v>0</v>
      </c>
      <c r="CY33">
        <f t="shared" si="31"/>
        <v>84.1935</v>
      </c>
      <c r="CZ33">
        <f t="shared" si="32"/>
        <v>57.645999999999994</v>
      </c>
      <c r="DE33" t="s">
        <v>20</v>
      </c>
      <c r="DF33" t="s">
        <v>20</v>
      </c>
      <c r="DG33" t="s">
        <v>20</v>
      </c>
      <c r="DI33" t="s">
        <v>20</v>
      </c>
      <c r="DJ33" t="s">
        <v>20</v>
      </c>
      <c r="DN33">
        <v>104</v>
      </c>
      <c r="DO33">
        <v>79</v>
      </c>
      <c r="DP33">
        <v>1.087</v>
      </c>
      <c r="DQ33">
        <v>1.001</v>
      </c>
      <c r="DU33">
        <v>1010</v>
      </c>
      <c r="DV33" t="s">
        <v>58</v>
      </c>
      <c r="DW33" t="s">
        <v>58</v>
      </c>
      <c r="DX33">
        <v>10</v>
      </c>
      <c r="EE33">
        <v>22534924</v>
      </c>
      <c r="EF33">
        <v>60</v>
      </c>
      <c r="EG33" t="s">
        <v>42</v>
      </c>
      <c r="EH33">
        <v>0</v>
      </c>
      <c r="EJ33">
        <v>1</v>
      </c>
      <c r="EK33">
        <v>442</v>
      </c>
      <c r="EL33" t="s">
        <v>49</v>
      </c>
      <c r="EM33" t="s">
        <v>50</v>
      </c>
      <c r="EQ33">
        <v>0</v>
      </c>
      <c r="ER33">
        <v>78.58</v>
      </c>
      <c r="ES33">
        <v>17.88</v>
      </c>
      <c r="ET33">
        <v>0.02</v>
      </c>
      <c r="EU33">
        <v>0</v>
      </c>
      <c r="EV33">
        <v>60.68</v>
      </c>
      <c r="EW33">
        <v>5.36</v>
      </c>
      <c r="EX33">
        <v>0</v>
      </c>
      <c r="EY33">
        <v>0</v>
      </c>
      <c r="EZ33">
        <v>0</v>
      </c>
      <c r="FQ33">
        <v>0</v>
      </c>
      <c r="FR33">
        <f t="shared" si="33"/>
        <v>0</v>
      </c>
      <c r="FS33">
        <v>0</v>
      </c>
      <c r="FX33">
        <v>111</v>
      </c>
      <c r="FY33">
        <v>76</v>
      </c>
      <c r="GG33">
        <v>2</v>
      </c>
      <c r="GH33">
        <v>0</v>
      </c>
      <c r="GI33">
        <v>0</v>
      </c>
      <c r="GJ33">
        <v>0</v>
      </c>
      <c r="GK33">
        <f>ROUND(R33*(R12)/100,2)</f>
        <v>0</v>
      </c>
      <c r="GL33">
        <f t="shared" si="34"/>
        <v>0</v>
      </c>
      <c r="GM33">
        <f t="shared" si="35"/>
        <v>235.62</v>
      </c>
      <c r="GN33">
        <f t="shared" si="36"/>
        <v>235.62</v>
      </c>
      <c r="GO33">
        <f t="shared" si="37"/>
        <v>0</v>
      </c>
      <c r="GP33">
        <f t="shared" si="38"/>
        <v>0</v>
      </c>
      <c r="GR33">
        <v>0</v>
      </c>
    </row>
    <row r="34" spans="1:200" ht="12.75">
      <c r="A34">
        <v>18</v>
      </c>
      <c r="B34">
        <v>1</v>
      </c>
      <c r="C34">
        <v>33</v>
      </c>
      <c r="E34" t="s">
        <v>65</v>
      </c>
      <c r="F34" t="s">
        <v>52</v>
      </c>
      <c r="G34" t="s">
        <v>53</v>
      </c>
      <c r="H34" t="s">
        <v>27</v>
      </c>
      <c r="I34">
        <f>I33*J34</f>
        <v>0.03</v>
      </c>
      <c r="J34">
        <v>0.03</v>
      </c>
      <c r="O34">
        <f t="shared" si="10"/>
        <v>442.62</v>
      </c>
      <c r="P34">
        <f t="shared" si="11"/>
        <v>442.62</v>
      </c>
      <c r="Q34">
        <f t="shared" si="12"/>
        <v>0</v>
      </c>
      <c r="R34">
        <f t="shared" si="13"/>
        <v>0</v>
      </c>
      <c r="S34">
        <f t="shared" si="14"/>
        <v>0</v>
      </c>
      <c r="T34">
        <f t="shared" si="15"/>
        <v>0</v>
      </c>
      <c r="U34">
        <f t="shared" si="16"/>
        <v>0</v>
      </c>
      <c r="V34">
        <f t="shared" si="17"/>
        <v>0</v>
      </c>
      <c r="W34">
        <f t="shared" si="18"/>
        <v>0</v>
      </c>
      <c r="X34">
        <f t="shared" si="19"/>
        <v>0</v>
      </c>
      <c r="Y34">
        <f t="shared" si="20"/>
        <v>0</v>
      </c>
      <c r="AA34">
        <v>22535680</v>
      </c>
      <c r="AB34">
        <f t="shared" si="21"/>
        <v>14739.12</v>
      </c>
      <c r="AC34">
        <f>AL34</f>
        <v>14739.12</v>
      </c>
      <c r="AD34">
        <f>(AM34*1.15)</f>
        <v>0</v>
      </c>
      <c r="AE34">
        <f>(AN34*1.15)</f>
        <v>0</v>
      </c>
      <c r="AF34">
        <f>(AO34*1.15)</f>
        <v>0</v>
      </c>
      <c r="AG34">
        <f>AP34</f>
        <v>0</v>
      </c>
      <c r="AH34">
        <f>(AQ34*1.15)</f>
        <v>0</v>
      </c>
      <c r="AI34">
        <f>(AR34*1.15)</f>
        <v>0</v>
      </c>
      <c r="AJ34">
        <f>AS34</f>
        <v>0</v>
      </c>
      <c r="AK34">
        <v>14739.12</v>
      </c>
      <c r="AL34">
        <v>14739.12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1.087</v>
      </c>
      <c r="AW34">
        <v>1.001</v>
      </c>
      <c r="AZ34">
        <v>1</v>
      </c>
      <c r="BA34">
        <v>1</v>
      </c>
      <c r="BB34">
        <v>1</v>
      </c>
      <c r="BC34">
        <v>1</v>
      </c>
      <c r="BH34">
        <v>3</v>
      </c>
      <c r="BI34">
        <v>1</v>
      </c>
      <c r="BJ34" t="s">
        <v>54</v>
      </c>
      <c r="BM34">
        <v>442</v>
      </c>
      <c r="BN34">
        <v>0</v>
      </c>
      <c r="BO34" t="s">
        <v>52</v>
      </c>
      <c r="BP34">
        <v>1</v>
      </c>
      <c r="BQ34">
        <v>60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F34">
        <v>0</v>
      </c>
      <c r="CG34">
        <v>0</v>
      </c>
      <c r="CM34">
        <v>0</v>
      </c>
      <c r="CO34">
        <v>0</v>
      </c>
      <c r="CP34">
        <f t="shared" si="22"/>
        <v>442.62</v>
      </c>
      <c r="CQ34">
        <f t="shared" si="23"/>
        <v>14753.85912</v>
      </c>
      <c r="CR34">
        <f t="shared" si="24"/>
        <v>0</v>
      </c>
      <c r="CS34">
        <f t="shared" si="25"/>
        <v>0</v>
      </c>
      <c r="CT34">
        <f t="shared" si="26"/>
        <v>0</v>
      </c>
      <c r="CU34">
        <f t="shared" si="27"/>
        <v>0</v>
      </c>
      <c r="CV34">
        <f t="shared" si="28"/>
        <v>0</v>
      </c>
      <c r="CW34">
        <f t="shared" si="29"/>
        <v>0</v>
      </c>
      <c r="CX34">
        <f t="shared" si="30"/>
        <v>0</v>
      </c>
      <c r="CY34">
        <f t="shared" si="31"/>
        <v>0</v>
      </c>
      <c r="CZ34">
        <f t="shared" si="32"/>
        <v>0</v>
      </c>
      <c r="DE34" t="s">
        <v>20</v>
      </c>
      <c r="DF34" t="s">
        <v>20</v>
      </c>
      <c r="DG34" t="s">
        <v>20</v>
      </c>
      <c r="DI34" t="s">
        <v>20</v>
      </c>
      <c r="DJ34" t="s">
        <v>20</v>
      </c>
      <c r="DN34">
        <v>104</v>
      </c>
      <c r="DO34">
        <v>79</v>
      </c>
      <c r="DP34">
        <v>1.087</v>
      </c>
      <c r="DQ34">
        <v>1.001</v>
      </c>
      <c r="DU34">
        <v>1009</v>
      </c>
      <c r="DV34" t="s">
        <v>27</v>
      </c>
      <c r="DW34" t="s">
        <v>27</v>
      </c>
      <c r="DX34">
        <v>1000</v>
      </c>
      <c r="EE34">
        <v>22534924</v>
      </c>
      <c r="EF34">
        <v>60</v>
      </c>
      <c r="EG34" t="s">
        <v>42</v>
      </c>
      <c r="EH34">
        <v>0</v>
      </c>
      <c r="EJ34">
        <v>1</v>
      </c>
      <c r="EK34">
        <v>442</v>
      </c>
      <c r="EL34" t="s">
        <v>49</v>
      </c>
      <c r="EM34" t="s">
        <v>50</v>
      </c>
      <c r="EQ34">
        <v>0</v>
      </c>
      <c r="ER34">
        <v>14739.12</v>
      </c>
      <c r="ES34">
        <v>14739.12</v>
      </c>
      <c r="ET34">
        <v>0</v>
      </c>
      <c r="EU34">
        <v>0</v>
      </c>
      <c r="EV34">
        <v>0</v>
      </c>
      <c r="EW34">
        <v>0</v>
      </c>
      <c r="EX34">
        <v>0</v>
      </c>
      <c r="EZ34">
        <v>0</v>
      </c>
      <c r="FQ34">
        <v>0</v>
      </c>
      <c r="FR34">
        <f t="shared" si="33"/>
        <v>0</v>
      </c>
      <c r="FS34">
        <v>0</v>
      </c>
      <c r="FX34">
        <v>0</v>
      </c>
      <c r="FY34">
        <v>0</v>
      </c>
      <c r="GG34">
        <v>2</v>
      </c>
      <c r="GH34">
        <v>0</v>
      </c>
      <c r="GI34">
        <v>0</v>
      </c>
      <c r="GJ34">
        <v>0</v>
      </c>
      <c r="GK34">
        <f>ROUND(R34*(R12)/100,2)</f>
        <v>0</v>
      </c>
      <c r="GL34">
        <f t="shared" si="34"/>
        <v>0</v>
      </c>
      <c r="GM34">
        <f t="shared" si="35"/>
        <v>442.62</v>
      </c>
      <c r="GN34">
        <f t="shared" si="36"/>
        <v>442.62</v>
      </c>
      <c r="GO34">
        <f t="shared" si="37"/>
        <v>0</v>
      </c>
      <c r="GP34">
        <f t="shared" si="38"/>
        <v>0</v>
      </c>
      <c r="GR34">
        <v>0</v>
      </c>
    </row>
    <row r="35" spans="1:200" ht="12.75">
      <c r="A35">
        <v>17</v>
      </c>
      <c r="B35">
        <v>1</v>
      </c>
      <c r="C35">
        <f>ROW(SmtRes!A41)</f>
        <v>41</v>
      </c>
      <c r="D35">
        <f>ROW(EtalonRes!A34)</f>
        <v>34</v>
      </c>
      <c r="E35" t="s">
        <v>66</v>
      </c>
      <c r="F35" t="s">
        <v>56</v>
      </c>
      <c r="G35" t="s">
        <v>57</v>
      </c>
      <c r="H35" t="s">
        <v>58</v>
      </c>
      <c r="I35">
        <v>1</v>
      </c>
      <c r="J35">
        <v>0</v>
      </c>
      <c r="O35">
        <f t="shared" si="10"/>
        <v>117.53</v>
      </c>
      <c r="P35">
        <f t="shared" si="11"/>
        <v>53.68</v>
      </c>
      <c r="Q35">
        <f t="shared" si="12"/>
        <v>0.03</v>
      </c>
      <c r="R35">
        <f t="shared" si="13"/>
        <v>0</v>
      </c>
      <c r="S35">
        <f t="shared" si="14"/>
        <v>63.82</v>
      </c>
      <c r="T35">
        <f t="shared" si="15"/>
        <v>0</v>
      </c>
      <c r="U35">
        <f t="shared" si="16"/>
        <v>5.637725499999999</v>
      </c>
      <c r="V35">
        <f t="shared" si="17"/>
        <v>0</v>
      </c>
      <c r="W35">
        <f t="shared" si="18"/>
        <v>0</v>
      </c>
      <c r="X35">
        <f t="shared" si="19"/>
        <v>70.84</v>
      </c>
      <c r="Y35">
        <f t="shared" si="20"/>
        <v>48.5</v>
      </c>
      <c r="AA35">
        <v>22535680</v>
      </c>
      <c r="AB35">
        <f t="shared" si="21"/>
        <v>112.3605</v>
      </c>
      <c r="AC35">
        <f>(ES35)</f>
        <v>53.63</v>
      </c>
      <c r="AD35">
        <f>((ET35*1.15))</f>
        <v>0.023</v>
      </c>
      <c r="AE35">
        <f>((EU35*1.15))</f>
        <v>0</v>
      </c>
      <c r="AF35">
        <f>((EV35*1.15))</f>
        <v>58.70749999999999</v>
      </c>
      <c r="AG35">
        <f>(AP35)</f>
        <v>0</v>
      </c>
      <c r="AH35">
        <f>((EW35*1.15))</f>
        <v>5.1865</v>
      </c>
      <c r="AI35">
        <f>((EX35*1.15))</f>
        <v>0</v>
      </c>
      <c r="AJ35">
        <f>(AS35)</f>
        <v>0</v>
      </c>
      <c r="AK35">
        <v>104.7</v>
      </c>
      <c r="AL35">
        <v>53.63</v>
      </c>
      <c r="AM35">
        <v>0.02</v>
      </c>
      <c r="AN35">
        <v>0</v>
      </c>
      <c r="AO35">
        <v>51.05</v>
      </c>
      <c r="AP35">
        <v>0</v>
      </c>
      <c r="AQ35">
        <v>4.51</v>
      </c>
      <c r="AR35">
        <v>0</v>
      </c>
      <c r="AS35">
        <v>0</v>
      </c>
      <c r="AT35">
        <v>111</v>
      </c>
      <c r="AU35">
        <v>76</v>
      </c>
      <c r="AV35">
        <v>1.087</v>
      </c>
      <c r="AW35">
        <v>1.001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1</v>
      </c>
      <c r="BJ35" t="s">
        <v>59</v>
      </c>
      <c r="BM35">
        <v>442</v>
      </c>
      <c r="BN35">
        <v>0</v>
      </c>
      <c r="BO35" t="s">
        <v>56</v>
      </c>
      <c r="BP35">
        <v>1</v>
      </c>
      <c r="BQ35">
        <v>60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111</v>
      </c>
      <c r="CA35">
        <v>76</v>
      </c>
      <c r="CF35">
        <v>0</v>
      </c>
      <c r="CG35">
        <v>0</v>
      </c>
      <c r="CM35">
        <v>0</v>
      </c>
      <c r="CO35">
        <v>0</v>
      </c>
      <c r="CP35">
        <f t="shared" si="22"/>
        <v>117.53</v>
      </c>
      <c r="CQ35">
        <f t="shared" si="23"/>
        <v>53.683629999999994</v>
      </c>
      <c r="CR35">
        <f t="shared" si="24"/>
        <v>0.025001</v>
      </c>
      <c r="CS35">
        <f t="shared" si="25"/>
        <v>0</v>
      </c>
      <c r="CT35">
        <f t="shared" si="26"/>
        <v>63.815052499999986</v>
      </c>
      <c r="CU35">
        <f t="shared" si="27"/>
        <v>0</v>
      </c>
      <c r="CV35">
        <f t="shared" si="28"/>
        <v>5.637725499999999</v>
      </c>
      <c r="CW35">
        <f t="shared" si="29"/>
        <v>0</v>
      </c>
      <c r="CX35">
        <f t="shared" si="30"/>
        <v>0</v>
      </c>
      <c r="CY35">
        <f t="shared" si="31"/>
        <v>70.84020000000001</v>
      </c>
      <c r="CZ35">
        <f t="shared" si="32"/>
        <v>48.5032</v>
      </c>
      <c r="DE35" t="s">
        <v>20</v>
      </c>
      <c r="DF35" t="s">
        <v>20</v>
      </c>
      <c r="DG35" t="s">
        <v>20</v>
      </c>
      <c r="DI35" t="s">
        <v>20</v>
      </c>
      <c r="DJ35" t="s">
        <v>20</v>
      </c>
      <c r="DN35">
        <v>104</v>
      </c>
      <c r="DO35">
        <v>79</v>
      </c>
      <c r="DP35">
        <v>1.087</v>
      </c>
      <c r="DQ35">
        <v>1.001</v>
      </c>
      <c r="DU35">
        <v>1010</v>
      </c>
      <c r="DV35" t="s">
        <v>58</v>
      </c>
      <c r="DW35" t="s">
        <v>58</v>
      </c>
      <c r="DX35">
        <v>10</v>
      </c>
      <c r="EE35">
        <v>22534924</v>
      </c>
      <c r="EF35">
        <v>60</v>
      </c>
      <c r="EG35" t="s">
        <v>42</v>
      </c>
      <c r="EH35">
        <v>0</v>
      </c>
      <c r="EJ35">
        <v>1</v>
      </c>
      <c r="EK35">
        <v>442</v>
      </c>
      <c r="EL35" t="s">
        <v>49</v>
      </c>
      <c r="EM35" t="s">
        <v>50</v>
      </c>
      <c r="EQ35">
        <v>0</v>
      </c>
      <c r="ER35">
        <v>104.7</v>
      </c>
      <c r="ES35">
        <v>53.63</v>
      </c>
      <c r="ET35">
        <v>0.02</v>
      </c>
      <c r="EU35">
        <v>0</v>
      </c>
      <c r="EV35">
        <v>51.05</v>
      </c>
      <c r="EW35">
        <v>4.51</v>
      </c>
      <c r="EX35">
        <v>0</v>
      </c>
      <c r="EY35">
        <v>0</v>
      </c>
      <c r="EZ35">
        <v>0</v>
      </c>
      <c r="FQ35">
        <v>0</v>
      </c>
      <c r="FR35">
        <f t="shared" si="33"/>
        <v>0</v>
      </c>
      <c r="FS35">
        <v>0</v>
      </c>
      <c r="FX35">
        <v>111</v>
      </c>
      <c r="FY35">
        <v>76</v>
      </c>
      <c r="GG35">
        <v>2</v>
      </c>
      <c r="GH35">
        <v>0</v>
      </c>
      <c r="GI35">
        <v>0</v>
      </c>
      <c r="GJ35">
        <v>0</v>
      </c>
      <c r="GK35">
        <f>ROUND(R35*(R12)/100,2)</f>
        <v>0</v>
      </c>
      <c r="GL35">
        <f t="shared" si="34"/>
        <v>0</v>
      </c>
      <c r="GM35">
        <f t="shared" si="35"/>
        <v>236.87</v>
      </c>
      <c r="GN35">
        <f t="shared" si="36"/>
        <v>236.87</v>
      </c>
      <c r="GO35">
        <f t="shared" si="37"/>
        <v>0</v>
      </c>
      <c r="GP35">
        <f t="shared" si="38"/>
        <v>0</v>
      </c>
      <c r="GR35">
        <v>0</v>
      </c>
    </row>
    <row r="36" spans="1:200" ht="12.75">
      <c r="A36">
        <v>18</v>
      </c>
      <c r="B36">
        <v>1</v>
      </c>
      <c r="C36">
        <v>39</v>
      </c>
      <c r="E36" t="s">
        <v>67</v>
      </c>
      <c r="F36" t="s">
        <v>52</v>
      </c>
      <c r="G36" t="s">
        <v>53</v>
      </c>
      <c r="H36" t="s">
        <v>27</v>
      </c>
      <c r="I36">
        <f>I35*J36</f>
        <v>0.04</v>
      </c>
      <c r="J36">
        <v>0.04</v>
      </c>
      <c r="O36">
        <f t="shared" si="10"/>
        <v>590.15</v>
      </c>
      <c r="P36">
        <f t="shared" si="11"/>
        <v>590.15</v>
      </c>
      <c r="Q36">
        <f t="shared" si="12"/>
        <v>0</v>
      </c>
      <c r="R36">
        <f t="shared" si="13"/>
        <v>0</v>
      </c>
      <c r="S36">
        <f t="shared" si="14"/>
        <v>0</v>
      </c>
      <c r="T36">
        <f t="shared" si="15"/>
        <v>0</v>
      </c>
      <c r="U36">
        <f t="shared" si="16"/>
        <v>0</v>
      </c>
      <c r="V36">
        <f t="shared" si="17"/>
        <v>0</v>
      </c>
      <c r="W36">
        <f t="shared" si="18"/>
        <v>0</v>
      </c>
      <c r="X36">
        <f t="shared" si="19"/>
        <v>0</v>
      </c>
      <c r="Y36">
        <f t="shared" si="20"/>
        <v>0</v>
      </c>
      <c r="AA36">
        <v>22535680</v>
      </c>
      <c r="AB36">
        <f t="shared" si="21"/>
        <v>14739.12</v>
      </c>
      <c r="AC36">
        <f>AL36</f>
        <v>14739.12</v>
      </c>
      <c r="AD36">
        <f>(AM36*1.15)</f>
        <v>0</v>
      </c>
      <c r="AE36">
        <f>(AN36*1.15)</f>
        <v>0</v>
      </c>
      <c r="AF36">
        <f>(AO36*1.15)</f>
        <v>0</v>
      </c>
      <c r="AG36">
        <f>AP36</f>
        <v>0</v>
      </c>
      <c r="AH36">
        <f>(AQ36*1.15)</f>
        <v>0</v>
      </c>
      <c r="AI36">
        <f>(AR36*1.15)</f>
        <v>0</v>
      </c>
      <c r="AJ36">
        <f>AS36</f>
        <v>0</v>
      </c>
      <c r="AK36">
        <v>14739.12</v>
      </c>
      <c r="AL36">
        <v>14739.12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1.087</v>
      </c>
      <c r="AW36">
        <v>1.001</v>
      </c>
      <c r="AZ36">
        <v>1</v>
      </c>
      <c r="BA36">
        <v>1</v>
      </c>
      <c r="BB36">
        <v>1</v>
      </c>
      <c r="BC36">
        <v>1</v>
      </c>
      <c r="BH36">
        <v>3</v>
      </c>
      <c r="BI36">
        <v>1</v>
      </c>
      <c r="BJ36" t="s">
        <v>54</v>
      </c>
      <c r="BM36">
        <v>442</v>
      </c>
      <c r="BN36">
        <v>0</v>
      </c>
      <c r="BO36" t="s">
        <v>52</v>
      </c>
      <c r="BP36">
        <v>1</v>
      </c>
      <c r="BQ36">
        <v>60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0</v>
      </c>
      <c r="CA36">
        <v>0</v>
      </c>
      <c r="CF36">
        <v>0</v>
      </c>
      <c r="CG36">
        <v>0</v>
      </c>
      <c r="CM36">
        <v>0</v>
      </c>
      <c r="CO36">
        <v>0</v>
      </c>
      <c r="CP36">
        <f t="shared" si="22"/>
        <v>590.15</v>
      </c>
      <c r="CQ36">
        <f t="shared" si="23"/>
        <v>14753.85912</v>
      </c>
      <c r="CR36">
        <f t="shared" si="24"/>
        <v>0</v>
      </c>
      <c r="CS36">
        <f t="shared" si="25"/>
        <v>0</v>
      </c>
      <c r="CT36">
        <f t="shared" si="26"/>
        <v>0</v>
      </c>
      <c r="CU36">
        <f t="shared" si="27"/>
        <v>0</v>
      </c>
      <c r="CV36">
        <f t="shared" si="28"/>
        <v>0</v>
      </c>
      <c r="CW36">
        <f t="shared" si="29"/>
        <v>0</v>
      </c>
      <c r="CX36">
        <f t="shared" si="30"/>
        <v>0</v>
      </c>
      <c r="CY36">
        <f t="shared" si="31"/>
        <v>0</v>
      </c>
      <c r="CZ36">
        <f t="shared" si="32"/>
        <v>0</v>
      </c>
      <c r="DE36" t="s">
        <v>20</v>
      </c>
      <c r="DF36" t="s">
        <v>20</v>
      </c>
      <c r="DG36" t="s">
        <v>20</v>
      </c>
      <c r="DI36" t="s">
        <v>20</v>
      </c>
      <c r="DJ36" t="s">
        <v>20</v>
      </c>
      <c r="DN36">
        <v>104</v>
      </c>
      <c r="DO36">
        <v>79</v>
      </c>
      <c r="DP36">
        <v>1.087</v>
      </c>
      <c r="DQ36">
        <v>1.001</v>
      </c>
      <c r="DU36">
        <v>1009</v>
      </c>
      <c r="DV36" t="s">
        <v>27</v>
      </c>
      <c r="DW36" t="s">
        <v>27</v>
      </c>
      <c r="DX36">
        <v>1000</v>
      </c>
      <c r="EE36">
        <v>22534924</v>
      </c>
      <c r="EF36">
        <v>60</v>
      </c>
      <c r="EG36" t="s">
        <v>42</v>
      </c>
      <c r="EH36">
        <v>0</v>
      </c>
      <c r="EJ36">
        <v>1</v>
      </c>
      <c r="EK36">
        <v>442</v>
      </c>
      <c r="EL36" t="s">
        <v>49</v>
      </c>
      <c r="EM36" t="s">
        <v>50</v>
      </c>
      <c r="EQ36">
        <v>0</v>
      </c>
      <c r="ER36">
        <v>14739.12</v>
      </c>
      <c r="ES36">
        <v>14739.12</v>
      </c>
      <c r="ET36">
        <v>0</v>
      </c>
      <c r="EU36">
        <v>0</v>
      </c>
      <c r="EV36">
        <v>0</v>
      </c>
      <c r="EW36">
        <v>0</v>
      </c>
      <c r="EX36">
        <v>0</v>
      </c>
      <c r="EZ36">
        <v>0</v>
      </c>
      <c r="FQ36">
        <v>0</v>
      </c>
      <c r="FR36">
        <f t="shared" si="33"/>
        <v>0</v>
      </c>
      <c r="FS36">
        <v>0</v>
      </c>
      <c r="FX36">
        <v>0</v>
      </c>
      <c r="FY36">
        <v>0</v>
      </c>
      <c r="GG36">
        <v>2</v>
      </c>
      <c r="GH36">
        <v>0</v>
      </c>
      <c r="GI36">
        <v>0</v>
      </c>
      <c r="GJ36">
        <v>0</v>
      </c>
      <c r="GK36">
        <f>ROUND(R36*(R12)/100,2)</f>
        <v>0</v>
      </c>
      <c r="GL36">
        <f t="shared" si="34"/>
        <v>0</v>
      </c>
      <c r="GM36">
        <f t="shared" si="35"/>
        <v>590.15</v>
      </c>
      <c r="GN36">
        <f t="shared" si="36"/>
        <v>590.15</v>
      </c>
      <c r="GO36">
        <f t="shared" si="37"/>
        <v>0</v>
      </c>
      <c r="GP36">
        <f t="shared" si="38"/>
        <v>0</v>
      </c>
      <c r="GR36">
        <v>0</v>
      </c>
    </row>
    <row r="37" spans="1:200" ht="12.75">
      <c r="A37">
        <v>17</v>
      </c>
      <c r="B37">
        <v>1</v>
      </c>
      <c r="C37">
        <f>ROW(SmtRes!A45)</f>
        <v>45</v>
      </c>
      <c r="D37">
        <f>ROW(EtalonRes!A38)</f>
        <v>38</v>
      </c>
      <c r="E37" t="s">
        <v>68</v>
      </c>
      <c r="F37" t="s">
        <v>69</v>
      </c>
      <c r="G37" t="s">
        <v>70</v>
      </c>
      <c r="H37" t="s">
        <v>58</v>
      </c>
      <c r="I37">
        <v>1</v>
      </c>
      <c r="J37">
        <v>0</v>
      </c>
      <c r="O37">
        <f t="shared" si="10"/>
        <v>104.23</v>
      </c>
      <c r="P37">
        <f t="shared" si="11"/>
        <v>53.64</v>
      </c>
      <c r="Q37">
        <f t="shared" si="12"/>
        <v>0.03</v>
      </c>
      <c r="R37">
        <f t="shared" si="13"/>
        <v>0</v>
      </c>
      <c r="S37">
        <f t="shared" si="14"/>
        <v>50.56</v>
      </c>
      <c r="T37">
        <f t="shared" si="15"/>
        <v>0</v>
      </c>
      <c r="U37">
        <f t="shared" si="16"/>
        <v>4.725188999999999</v>
      </c>
      <c r="V37">
        <f t="shared" si="17"/>
        <v>0</v>
      </c>
      <c r="W37">
        <f t="shared" si="18"/>
        <v>0</v>
      </c>
      <c r="X37">
        <f t="shared" si="19"/>
        <v>56.12</v>
      </c>
      <c r="Y37">
        <f t="shared" si="20"/>
        <v>38.43</v>
      </c>
      <c r="AA37">
        <v>22535680</v>
      </c>
      <c r="AB37">
        <f t="shared" si="21"/>
        <v>100.13050000000001</v>
      </c>
      <c r="AC37">
        <f>(ES37)</f>
        <v>53.59</v>
      </c>
      <c r="AD37">
        <f>((ET37*1.15))</f>
        <v>0.023</v>
      </c>
      <c r="AE37">
        <f>((EU37*1.15))</f>
        <v>0</v>
      </c>
      <c r="AF37">
        <f>((EV37*1.15))</f>
        <v>46.5175</v>
      </c>
      <c r="AG37">
        <f>(AP37)</f>
        <v>0</v>
      </c>
      <c r="AH37">
        <f>((EW37*1.15))</f>
        <v>4.3469999999999995</v>
      </c>
      <c r="AI37">
        <f>((EX37*1.15))</f>
        <v>0</v>
      </c>
      <c r="AJ37">
        <f>(AS37)</f>
        <v>0</v>
      </c>
      <c r="AK37">
        <v>94.06</v>
      </c>
      <c r="AL37">
        <v>53.59</v>
      </c>
      <c r="AM37">
        <v>0.02</v>
      </c>
      <c r="AN37">
        <v>0</v>
      </c>
      <c r="AO37">
        <v>40.45</v>
      </c>
      <c r="AP37">
        <v>0</v>
      </c>
      <c r="AQ37">
        <v>3.78</v>
      </c>
      <c r="AR37">
        <v>0</v>
      </c>
      <c r="AS37">
        <v>0</v>
      </c>
      <c r="AT37">
        <v>111</v>
      </c>
      <c r="AU37">
        <v>76</v>
      </c>
      <c r="AV37">
        <v>1.087</v>
      </c>
      <c r="AW37">
        <v>1.001</v>
      </c>
      <c r="AZ37">
        <v>1</v>
      </c>
      <c r="BA37">
        <v>1</v>
      </c>
      <c r="BB37">
        <v>1</v>
      </c>
      <c r="BC37">
        <v>1</v>
      </c>
      <c r="BH37">
        <v>0</v>
      </c>
      <c r="BI37">
        <v>1</v>
      </c>
      <c r="BJ37" t="s">
        <v>71</v>
      </c>
      <c r="BM37">
        <v>442</v>
      </c>
      <c r="BN37">
        <v>0</v>
      </c>
      <c r="BO37" t="s">
        <v>69</v>
      </c>
      <c r="BP37">
        <v>1</v>
      </c>
      <c r="BQ37">
        <v>60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111</v>
      </c>
      <c r="CA37">
        <v>76</v>
      </c>
      <c r="CF37">
        <v>0</v>
      </c>
      <c r="CG37">
        <v>0</v>
      </c>
      <c r="CM37">
        <v>0</v>
      </c>
      <c r="CO37">
        <v>0</v>
      </c>
      <c r="CP37">
        <f t="shared" si="22"/>
        <v>104.23</v>
      </c>
      <c r="CQ37">
        <f t="shared" si="23"/>
        <v>53.643589999999996</v>
      </c>
      <c r="CR37">
        <f t="shared" si="24"/>
        <v>0.025001</v>
      </c>
      <c r="CS37">
        <f t="shared" si="25"/>
        <v>0</v>
      </c>
      <c r="CT37">
        <f t="shared" si="26"/>
        <v>50.564522499999995</v>
      </c>
      <c r="CU37">
        <f t="shared" si="27"/>
        <v>0</v>
      </c>
      <c r="CV37">
        <f t="shared" si="28"/>
        <v>4.725188999999999</v>
      </c>
      <c r="CW37">
        <f t="shared" si="29"/>
        <v>0</v>
      </c>
      <c r="CX37">
        <f t="shared" si="30"/>
        <v>0</v>
      </c>
      <c r="CY37">
        <f t="shared" si="31"/>
        <v>56.12160000000001</v>
      </c>
      <c r="CZ37">
        <f t="shared" si="32"/>
        <v>38.4256</v>
      </c>
      <c r="DE37" t="s">
        <v>20</v>
      </c>
      <c r="DF37" t="s">
        <v>20</v>
      </c>
      <c r="DG37" t="s">
        <v>20</v>
      </c>
      <c r="DI37" t="s">
        <v>20</v>
      </c>
      <c r="DJ37" t="s">
        <v>20</v>
      </c>
      <c r="DN37">
        <v>104</v>
      </c>
      <c r="DO37">
        <v>79</v>
      </c>
      <c r="DP37">
        <v>1.087</v>
      </c>
      <c r="DQ37">
        <v>1.001</v>
      </c>
      <c r="DU37">
        <v>1010</v>
      </c>
      <c r="DV37" t="s">
        <v>58</v>
      </c>
      <c r="DW37" t="s">
        <v>58</v>
      </c>
      <c r="DX37">
        <v>10</v>
      </c>
      <c r="EE37">
        <v>22534924</v>
      </c>
      <c r="EF37">
        <v>60</v>
      </c>
      <c r="EG37" t="s">
        <v>42</v>
      </c>
      <c r="EH37">
        <v>0</v>
      </c>
      <c r="EJ37">
        <v>1</v>
      </c>
      <c r="EK37">
        <v>442</v>
      </c>
      <c r="EL37" t="s">
        <v>49</v>
      </c>
      <c r="EM37" t="s">
        <v>50</v>
      </c>
      <c r="EQ37">
        <v>0</v>
      </c>
      <c r="ER37">
        <v>94.06</v>
      </c>
      <c r="ES37">
        <v>53.59</v>
      </c>
      <c r="ET37">
        <v>0.02</v>
      </c>
      <c r="EU37">
        <v>0</v>
      </c>
      <c r="EV37">
        <v>40.45</v>
      </c>
      <c r="EW37">
        <v>3.78</v>
      </c>
      <c r="EX37">
        <v>0</v>
      </c>
      <c r="EY37">
        <v>0</v>
      </c>
      <c r="EZ37">
        <v>0</v>
      </c>
      <c r="FQ37">
        <v>0</v>
      </c>
      <c r="FR37">
        <f t="shared" si="33"/>
        <v>0</v>
      </c>
      <c r="FS37">
        <v>0</v>
      </c>
      <c r="FX37">
        <v>111</v>
      </c>
      <c r="FY37">
        <v>76</v>
      </c>
      <c r="GG37">
        <v>2</v>
      </c>
      <c r="GH37">
        <v>0</v>
      </c>
      <c r="GI37">
        <v>0</v>
      </c>
      <c r="GJ37">
        <v>0</v>
      </c>
      <c r="GK37">
        <f>ROUND(R37*(R12)/100,2)</f>
        <v>0</v>
      </c>
      <c r="GL37">
        <f t="shared" si="34"/>
        <v>0</v>
      </c>
      <c r="GM37">
        <f t="shared" si="35"/>
        <v>198.78</v>
      </c>
      <c r="GN37">
        <f t="shared" si="36"/>
        <v>198.78</v>
      </c>
      <c r="GO37">
        <f t="shared" si="37"/>
        <v>0</v>
      </c>
      <c r="GP37">
        <f t="shared" si="38"/>
        <v>0</v>
      </c>
      <c r="GR37">
        <v>0</v>
      </c>
    </row>
    <row r="38" spans="1:200" ht="12.75">
      <c r="A38">
        <v>17</v>
      </c>
      <c r="B38">
        <v>1</v>
      </c>
      <c r="C38">
        <f>ROW(SmtRes!A52)</f>
        <v>52</v>
      </c>
      <c r="D38">
        <f>ROW(EtalonRes!A45)</f>
        <v>45</v>
      </c>
      <c r="E38" t="s">
        <v>72</v>
      </c>
      <c r="F38" t="s">
        <v>73</v>
      </c>
      <c r="G38" t="s">
        <v>74</v>
      </c>
      <c r="H38" t="s">
        <v>75</v>
      </c>
      <c r="I38">
        <v>1</v>
      </c>
      <c r="J38">
        <v>0</v>
      </c>
      <c r="O38">
        <f t="shared" si="10"/>
        <v>585.25</v>
      </c>
      <c r="P38">
        <f t="shared" si="11"/>
        <v>16.52</v>
      </c>
      <c r="Q38">
        <f t="shared" si="12"/>
        <v>108.15</v>
      </c>
      <c r="R38">
        <f t="shared" si="13"/>
        <v>19.69</v>
      </c>
      <c r="S38">
        <f t="shared" si="14"/>
        <v>460.58</v>
      </c>
      <c r="T38">
        <f t="shared" si="15"/>
        <v>0</v>
      </c>
      <c r="U38">
        <f t="shared" si="16"/>
        <v>34.917449999999995</v>
      </c>
      <c r="V38">
        <f t="shared" si="17"/>
        <v>0</v>
      </c>
      <c r="W38">
        <f t="shared" si="18"/>
        <v>0</v>
      </c>
      <c r="X38">
        <f t="shared" si="19"/>
        <v>515.85</v>
      </c>
      <c r="Y38">
        <f t="shared" si="20"/>
        <v>308.59</v>
      </c>
      <c r="AA38">
        <v>22535680</v>
      </c>
      <c r="AB38">
        <f t="shared" si="21"/>
        <v>559.7219249999999</v>
      </c>
      <c r="AC38">
        <f>(ES38)</f>
        <v>16.52</v>
      </c>
      <c r="AD38">
        <f>(((ET38*1.15)*1.25))</f>
        <v>103.29875</v>
      </c>
      <c r="AE38">
        <f>(((EU38*1.15)*1.25))</f>
        <v>18.8025</v>
      </c>
      <c r="AF38">
        <f>(((EV38*1.15)*1.15))</f>
        <v>439.903175</v>
      </c>
      <c r="AG38">
        <f>(AP38)</f>
        <v>0</v>
      </c>
      <c r="AH38">
        <f>((EW38*1.15))</f>
        <v>33.349999999999994</v>
      </c>
      <c r="AI38">
        <f>(((EX38*1.15)*1.25))</f>
        <v>0</v>
      </c>
      <c r="AJ38">
        <f>(AS38)</f>
        <v>0</v>
      </c>
      <c r="AK38">
        <v>421.01</v>
      </c>
      <c r="AL38">
        <v>16.52</v>
      </c>
      <c r="AM38">
        <v>71.86</v>
      </c>
      <c r="AN38">
        <v>13.08</v>
      </c>
      <c r="AO38">
        <v>332.63</v>
      </c>
      <c r="AP38">
        <v>0</v>
      </c>
      <c r="AQ38">
        <v>29</v>
      </c>
      <c r="AR38">
        <v>0</v>
      </c>
      <c r="AS38">
        <v>0</v>
      </c>
      <c r="AT38">
        <v>112</v>
      </c>
      <c r="AU38">
        <v>67</v>
      </c>
      <c r="AV38">
        <v>1.047</v>
      </c>
      <c r="AW38">
        <v>1</v>
      </c>
      <c r="AZ38">
        <v>1</v>
      </c>
      <c r="BA38">
        <v>1</v>
      </c>
      <c r="BB38">
        <v>1</v>
      </c>
      <c r="BC38">
        <v>1</v>
      </c>
      <c r="BH38">
        <v>0</v>
      </c>
      <c r="BI38">
        <v>1</v>
      </c>
      <c r="BJ38" t="s">
        <v>76</v>
      </c>
      <c r="BM38">
        <v>81</v>
      </c>
      <c r="BN38">
        <v>0</v>
      </c>
      <c r="BO38" t="s">
        <v>73</v>
      </c>
      <c r="BP38">
        <v>1</v>
      </c>
      <c r="BQ38">
        <v>30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112</v>
      </c>
      <c r="CA38">
        <v>67</v>
      </c>
      <c r="CF38">
        <v>0</v>
      </c>
      <c r="CG38">
        <v>0</v>
      </c>
      <c r="CM38">
        <v>0</v>
      </c>
      <c r="CO38">
        <v>0</v>
      </c>
      <c r="CP38">
        <f t="shared" si="22"/>
        <v>585.25</v>
      </c>
      <c r="CQ38">
        <f t="shared" si="23"/>
        <v>16.52</v>
      </c>
      <c r="CR38">
        <f t="shared" si="24"/>
        <v>108.15379125</v>
      </c>
      <c r="CS38">
        <f t="shared" si="25"/>
        <v>19.686217499999998</v>
      </c>
      <c r="CT38">
        <f t="shared" si="26"/>
        <v>460.57862422499994</v>
      </c>
      <c r="CU38">
        <f t="shared" si="27"/>
        <v>0</v>
      </c>
      <c r="CV38">
        <f t="shared" si="28"/>
        <v>34.917449999999995</v>
      </c>
      <c r="CW38">
        <f t="shared" si="29"/>
        <v>0</v>
      </c>
      <c r="CX38">
        <f t="shared" si="30"/>
        <v>0</v>
      </c>
      <c r="CY38">
        <f t="shared" si="31"/>
        <v>515.8496</v>
      </c>
      <c r="CZ38">
        <f t="shared" si="32"/>
        <v>308.5886</v>
      </c>
      <c r="DE38" t="s">
        <v>18</v>
      </c>
      <c r="DF38" t="s">
        <v>18</v>
      </c>
      <c r="DG38" t="s">
        <v>19</v>
      </c>
      <c r="DI38" t="s">
        <v>20</v>
      </c>
      <c r="DJ38" t="s">
        <v>18</v>
      </c>
      <c r="DN38">
        <v>120</v>
      </c>
      <c r="DO38">
        <v>84</v>
      </c>
      <c r="DP38">
        <v>1.047</v>
      </c>
      <c r="DQ38">
        <v>1</v>
      </c>
      <c r="DU38">
        <v>1005</v>
      </c>
      <c r="DV38" t="s">
        <v>75</v>
      </c>
      <c r="DW38" t="s">
        <v>75</v>
      </c>
      <c r="DX38">
        <v>1000</v>
      </c>
      <c r="EE38">
        <v>22534563</v>
      </c>
      <c r="EF38">
        <v>30</v>
      </c>
      <c r="EG38" t="s">
        <v>21</v>
      </c>
      <c r="EH38">
        <v>0</v>
      </c>
      <c r="EJ38">
        <v>1</v>
      </c>
      <c r="EK38">
        <v>81</v>
      </c>
      <c r="EL38" t="s">
        <v>77</v>
      </c>
      <c r="EM38" t="s">
        <v>78</v>
      </c>
      <c r="EQ38">
        <v>0</v>
      </c>
      <c r="ER38">
        <v>421.01</v>
      </c>
      <c r="ES38">
        <v>16.52</v>
      </c>
      <c r="ET38">
        <v>71.86</v>
      </c>
      <c r="EU38">
        <v>13.08</v>
      </c>
      <c r="EV38">
        <v>332.63</v>
      </c>
      <c r="EW38">
        <v>29</v>
      </c>
      <c r="EX38">
        <v>0</v>
      </c>
      <c r="EY38">
        <v>0</v>
      </c>
      <c r="EZ38">
        <v>0</v>
      </c>
      <c r="FQ38">
        <v>0</v>
      </c>
      <c r="FR38">
        <f t="shared" si="33"/>
        <v>0</v>
      </c>
      <c r="FS38">
        <v>0</v>
      </c>
      <c r="FX38">
        <v>112</v>
      </c>
      <c r="FY38">
        <v>67</v>
      </c>
      <c r="GG38">
        <v>2</v>
      </c>
      <c r="GH38">
        <v>0</v>
      </c>
      <c r="GI38">
        <v>0</v>
      </c>
      <c r="GJ38">
        <v>0</v>
      </c>
      <c r="GK38">
        <f>ROUND(R38*(R12)/100,2)</f>
        <v>35.44</v>
      </c>
      <c r="GL38">
        <f t="shared" si="34"/>
        <v>0</v>
      </c>
      <c r="GM38">
        <f t="shared" si="35"/>
        <v>1445.1299999999999</v>
      </c>
      <c r="GN38">
        <f t="shared" si="36"/>
        <v>1445.13</v>
      </c>
      <c r="GO38">
        <f t="shared" si="37"/>
        <v>0</v>
      </c>
      <c r="GP38">
        <f t="shared" si="38"/>
        <v>0</v>
      </c>
      <c r="GR38">
        <v>0</v>
      </c>
    </row>
    <row r="39" spans="1:200" ht="12.75">
      <c r="A39">
        <v>18</v>
      </c>
      <c r="B39">
        <v>1</v>
      </c>
      <c r="C39">
        <v>51</v>
      </c>
      <c r="E39" t="s">
        <v>79</v>
      </c>
      <c r="F39" t="s">
        <v>80</v>
      </c>
      <c r="G39" t="s">
        <v>81</v>
      </c>
      <c r="H39" t="s">
        <v>27</v>
      </c>
      <c r="I39">
        <f>I38*J39</f>
        <v>0.04</v>
      </c>
      <c r="J39">
        <v>0.04</v>
      </c>
      <c r="O39">
        <f t="shared" si="10"/>
        <v>297.53</v>
      </c>
      <c r="P39">
        <f t="shared" si="11"/>
        <v>297.53</v>
      </c>
      <c r="Q39">
        <f t="shared" si="12"/>
        <v>0</v>
      </c>
      <c r="R39">
        <f t="shared" si="13"/>
        <v>0</v>
      </c>
      <c r="S39">
        <f t="shared" si="14"/>
        <v>0</v>
      </c>
      <c r="T39">
        <f t="shared" si="15"/>
        <v>0</v>
      </c>
      <c r="U39">
        <f t="shared" si="16"/>
        <v>0</v>
      </c>
      <c r="V39">
        <f t="shared" si="17"/>
        <v>0</v>
      </c>
      <c r="W39">
        <f t="shared" si="18"/>
        <v>0</v>
      </c>
      <c r="X39">
        <f t="shared" si="19"/>
        <v>0</v>
      </c>
      <c r="Y39">
        <f t="shared" si="20"/>
        <v>0</v>
      </c>
      <c r="AA39">
        <v>22535680</v>
      </c>
      <c r="AB39">
        <f t="shared" si="21"/>
        <v>7438.24</v>
      </c>
      <c r="AC39">
        <f>AL39</f>
        <v>7438.24</v>
      </c>
      <c r="AD39">
        <f aca="true" t="shared" si="40" ref="AD39:AF41">(AM39*1.15)</f>
        <v>0</v>
      </c>
      <c r="AE39">
        <f t="shared" si="40"/>
        <v>0</v>
      </c>
      <c r="AF39">
        <f t="shared" si="40"/>
        <v>0</v>
      </c>
      <c r="AG39">
        <f>AP39</f>
        <v>0</v>
      </c>
      <c r="AH39">
        <f aca="true" t="shared" si="41" ref="AH39:AI41">(AQ39*1.15)</f>
        <v>0</v>
      </c>
      <c r="AI39">
        <f t="shared" si="41"/>
        <v>0</v>
      </c>
      <c r="AJ39">
        <f>AS39</f>
        <v>0</v>
      </c>
      <c r="AK39">
        <v>7438.24</v>
      </c>
      <c r="AL39">
        <v>7438.24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1.047</v>
      </c>
      <c r="AW39">
        <v>1</v>
      </c>
      <c r="AZ39">
        <v>1</v>
      </c>
      <c r="BA39">
        <v>1</v>
      </c>
      <c r="BB39">
        <v>1</v>
      </c>
      <c r="BC39">
        <v>1</v>
      </c>
      <c r="BH39">
        <v>3</v>
      </c>
      <c r="BI39">
        <v>1</v>
      </c>
      <c r="BJ39" t="s">
        <v>82</v>
      </c>
      <c r="BM39">
        <v>81</v>
      </c>
      <c r="BN39">
        <v>0</v>
      </c>
      <c r="BO39" t="s">
        <v>80</v>
      </c>
      <c r="BP39">
        <v>1</v>
      </c>
      <c r="BQ39">
        <v>30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CP39">
        <f t="shared" si="22"/>
        <v>297.53</v>
      </c>
      <c r="CQ39">
        <f t="shared" si="23"/>
        <v>7438.24</v>
      </c>
      <c r="CR39">
        <f t="shared" si="24"/>
        <v>0</v>
      </c>
      <c r="CS39">
        <f t="shared" si="25"/>
        <v>0</v>
      </c>
      <c r="CT39">
        <f t="shared" si="26"/>
        <v>0</v>
      </c>
      <c r="CU39">
        <f t="shared" si="27"/>
        <v>0</v>
      </c>
      <c r="CV39">
        <f t="shared" si="28"/>
        <v>0</v>
      </c>
      <c r="CW39">
        <f t="shared" si="29"/>
        <v>0</v>
      </c>
      <c r="CX39">
        <f t="shared" si="30"/>
        <v>0</v>
      </c>
      <c r="CY39">
        <f t="shared" si="31"/>
        <v>0</v>
      </c>
      <c r="CZ39">
        <f t="shared" si="32"/>
        <v>0</v>
      </c>
      <c r="DE39" t="s">
        <v>20</v>
      </c>
      <c r="DF39" t="s">
        <v>20</v>
      </c>
      <c r="DG39" t="s">
        <v>20</v>
      </c>
      <c r="DI39" t="s">
        <v>20</v>
      </c>
      <c r="DJ39" t="s">
        <v>20</v>
      </c>
      <c r="DN39">
        <v>120</v>
      </c>
      <c r="DO39">
        <v>84</v>
      </c>
      <c r="DP39">
        <v>1.047</v>
      </c>
      <c r="DQ39">
        <v>1</v>
      </c>
      <c r="DU39">
        <v>1009</v>
      </c>
      <c r="DV39" t="s">
        <v>27</v>
      </c>
      <c r="DW39" t="s">
        <v>27</v>
      </c>
      <c r="DX39">
        <v>1000</v>
      </c>
      <c r="EE39">
        <v>22534563</v>
      </c>
      <c r="EF39">
        <v>30</v>
      </c>
      <c r="EG39" t="s">
        <v>21</v>
      </c>
      <c r="EH39">
        <v>0</v>
      </c>
      <c r="EJ39">
        <v>1</v>
      </c>
      <c r="EK39">
        <v>81</v>
      </c>
      <c r="EL39" t="s">
        <v>77</v>
      </c>
      <c r="EM39" t="s">
        <v>78</v>
      </c>
      <c r="EQ39">
        <v>0</v>
      </c>
      <c r="ER39">
        <v>7438.24</v>
      </c>
      <c r="ES39">
        <v>7438.24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0</v>
      </c>
      <c r="FQ39">
        <v>0</v>
      </c>
      <c r="FR39">
        <f t="shared" si="33"/>
        <v>0</v>
      </c>
      <c r="FS39">
        <v>0</v>
      </c>
      <c r="FX39">
        <v>0</v>
      </c>
      <c r="FY39">
        <v>0</v>
      </c>
      <c r="GG39">
        <v>2</v>
      </c>
      <c r="GH39">
        <v>0</v>
      </c>
      <c r="GI39">
        <v>0</v>
      </c>
      <c r="GJ39">
        <v>0</v>
      </c>
      <c r="GK39">
        <f>ROUND(R39*(R12)/100,2)</f>
        <v>0</v>
      </c>
      <c r="GL39">
        <f t="shared" si="34"/>
        <v>0</v>
      </c>
      <c r="GM39">
        <f t="shared" si="35"/>
        <v>297.53</v>
      </c>
      <c r="GN39">
        <f t="shared" si="36"/>
        <v>297.53</v>
      </c>
      <c r="GO39">
        <f t="shared" si="37"/>
        <v>0</v>
      </c>
      <c r="GP39">
        <f t="shared" si="38"/>
        <v>0</v>
      </c>
      <c r="GR39">
        <v>0</v>
      </c>
    </row>
    <row r="40" spans="1:200" ht="12.75">
      <c r="A40">
        <v>18</v>
      </c>
      <c r="B40">
        <v>1</v>
      </c>
      <c r="C40">
        <v>52</v>
      </c>
      <c r="E40" t="s">
        <v>83</v>
      </c>
      <c r="F40" t="s">
        <v>84</v>
      </c>
      <c r="G40" t="s">
        <v>85</v>
      </c>
      <c r="H40" t="s">
        <v>27</v>
      </c>
      <c r="I40">
        <f>I38*J40</f>
        <v>0.06</v>
      </c>
      <c r="J40">
        <v>0.06</v>
      </c>
      <c r="O40">
        <f t="shared" si="10"/>
        <v>460.95</v>
      </c>
      <c r="P40">
        <f t="shared" si="11"/>
        <v>460.95</v>
      </c>
      <c r="Q40">
        <f t="shared" si="12"/>
        <v>0</v>
      </c>
      <c r="R40">
        <f t="shared" si="13"/>
        <v>0</v>
      </c>
      <c r="S40">
        <f t="shared" si="14"/>
        <v>0</v>
      </c>
      <c r="T40">
        <f t="shared" si="15"/>
        <v>0</v>
      </c>
      <c r="U40">
        <f t="shared" si="16"/>
        <v>0</v>
      </c>
      <c r="V40">
        <f t="shared" si="17"/>
        <v>0</v>
      </c>
      <c r="W40">
        <f t="shared" si="18"/>
        <v>0</v>
      </c>
      <c r="X40">
        <f t="shared" si="19"/>
        <v>0</v>
      </c>
      <c r="Y40">
        <f t="shared" si="20"/>
        <v>0</v>
      </c>
      <c r="AA40">
        <v>22535680</v>
      </c>
      <c r="AB40">
        <f t="shared" si="21"/>
        <v>7682.53</v>
      </c>
      <c r="AC40">
        <f>AL40</f>
        <v>7682.53</v>
      </c>
      <c r="AD40">
        <f t="shared" si="40"/>
        <v>0</v>
      </c>
      <c r="AE40">
        <f t="shared" si="40"/>
        <v>0</v>
      </c>
      <c r="AF40">
        <f t="shared" si="40"/>
        <v>0</v>
      </c>
      <c r="AG40">
        <f>AP40</f>
        <v>0</v>
      </c>
      <c r="AH40">
        <f t="shared" si="41"/>
        <v>0</v>
      </c>
      <c r="AI40">
        <f t="shared" si="41"/>
        <v>0</v>
      </c>
      <c r="AJ40">
        <f>AS40</f>
        <v>0</v>
      </c>
      <c r="AK40">
        <v>7682.53</v>
      </c>
      <c r="AL40">
        <v>7682.53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1.047</v>
      </c>
      <c r="AW40">
        <v>1</v>
      </c>
      <c r="AZ40">
        <v>1</v>
      </c>
      <c r="BA40">
        <v>1</v>
      </c>
      <c r="BB40">
        <v>1</v>
      </c>
      <c r="BC40">
        <v>1</v>
      </c>
      <c r="BH40">
        <v>3</v>
      </c>
      <c r="BI40">
        <v>1</v>
      </c>
      <c r="BJ40" t="s">
        <v>86</v>
      </c>
      <c r="BM40">
        <v>81</v>
      </c>
      <c r="BN40">
        <v>0</v>
      </c>
      <c r="BO40" t="s">
        <v>84</v>
      </c>
      <c r="BP40">
        <v>1</v>
      </c>
      <c r="BQ40">
        <v>30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0</v>
      </c>
      <c r="CA40">
        <v>0</v>
      </c>
      <c r="CF40">
        <v>0</v>
      </c>
      <c r="CG40">
        <v>0</v>
      </c>
      <c r="CM40">
        <v>0</v>
      </c>
      <c r="CO40">
        <v>0</v>
      </c>
      <c r="CP40">
        <f t="shared" si="22"/>
        <v>460.95</v>
      </c>
      <c r="CQ40">
        <f t="shared" si="23"/>
        <v>7682.53</v>
      </c>
      <c r="CR40">
        <f t="shared" si="24"/>
        <v>0</v>
      </c>
      <c r="CS40">
        <f t="shared" si="25"/>
        <v>0</v>
      </c>
      <c r="CT40">
        <f t="shared" si="26"/>
        <v>0</v>
      </c>
      <c r="CU40">
        <f t="shared" si="27"/>
        <v>0</v>
      </c>
      <c r="CV40">
        <f t="shared" si="28"/>
        <v>0</v>
      </c>
      <c r="CW40">
        <f t="shared" si="29"/>
        <v>0</v>
      </c>
      <c r="CX40">
        <f t="shared" si="30"/>
        <v>0</v>
      </c>
      <c r="CY40">
        <f t="shared" si="31"/>
        <v>0</v>
      </c>
      <c r="CZ40">
        <f t="shared" si="32"/>
        <v>0</v>
      </c>
      <c r="DE40" t="s">
        <v>20</v>
      </c>
      <c r="DF40" t="s">
        <v>20</v>
      </c>
      <c r="DG40" t="s">
        <v>20</v>
      </c>
      <c r="DI40" t="s">
        <v>20</v>
      </c>
      <c r="DJ40" t="s">
        <v>20</v>
      </c>
      <c r="DN40">
        <v>120</v>
      </c>
      <c r="DO40">
        <v>84</v>
      </c>
      <c r="DP40">
        <v>1.047</v>
      </c>
      <c r="DQ40">
        <v>1</v>
      </c>
      <c r="DU40">
        <v>1009</v>
      </c>
      <c r="DV40" t="s">
        <v>27</v>
      </c>
      <c r="DW40" t="s">
        <v>27</v>
      </c>
      <c r="DX40">
        <v>1000</v>
      </c>
      <c r="EE40">
        <v>22534563</v>
      </c>
      <c r="EF40">
        <v>30</v>
      </c>
      <c r="EG40" t="s">
        <v>21</v>
      </c>
      <c r="EH40">
        <v>0</v>
      </c>
      <c r="EJ40">
        <v>1</v>
      </c>
      <c r="EK40">
        <v>81</v>
      </c>
      <c r="EL40" t="s">
        <v>77</v>
      </c>
      <c r="EM40" t="s">
        <v>78</v>
      </c>
      <c r="EQ40">
        <v>0</v>
      </c>
      <c r="ER40">
        <v>7682.53</v>
      </c>
      <c r="ES40">
        <v>7682.53</v>
      </c>
      <c r="ET40">
        <v>0</v>
      </c>
      <c r="EU40">
        <v>0</v>
      </c>
      <c r="EV40">
        <v>0</v>
      </c>
      <c r="EW40">
        <v>0</v>
      </c>
      <c r="EX40">
        <v>0</v>
      </c>
      <c r="EZ40">
        <v>0</v>
      </c>
      <c r="FQ40">
        <v>0</v>
      </c>
      <c r="FR40">
        <f t="shared" si="33"/>
        <v>0</v>
      </c>
      <c r="FS40">
        <v>0</v>
      </c>
      <c r="FX40">
        <v>0</v>
      </c>
      <c r="FY40">
        <v>0</v>
      </c>
      <c r="GG40">
        <v>2</v>
      </c>
      <c r="GH40">
        <v>0</v>
      </c>
      <c r="GI40">
        <v>0</v>
      </c>
      <c r="GJ40">
        <v>0</v>
      </c>
      <c r="GK40">
        <f>ROUND(R40*(R12)/100,2)</f>
        <v>0</v>
      </c>
      <c r="GL40">
        <f t="shared" si="34"/>
        <v>0</v>
      </c>
      <c r="GM40">
        <f t="shared" si="35"/>
        <v>460.95</v>
      </c>
      <c r="GN40">
        <f t="shared" si="36"/>
        <v>460.95</v>
      </c>
      <c r="GO40">
        <f t="shared" si="37"/>
        <v>0</v>
      </c>
      <c r="GP40">
        <f t="shared" si="38"/>
        <v>0</v>
      </c>
      <c r="GR40">
        <v>0</v>
      </c>
    </row>
    <row r="41" spans="1:200" ht="12.75">
      <c r="A41">
        <v>18</v>
      </c>
      <c r="B41">
        <v>1</v>
      </c>
      <c r="C41">
        <v>50</v>
      </c>
      <c r="E41" t="s">
        <v>87</v>
      </c>
      <c r="F41" t="s">
        <v>88</v>
      </c>
      <c r="G41" t="s">
        <v>89</v>
      </c>
      <c r="H41" t="s">
        <v>27</v>
      </c>
      <c r="I41">
        <f>I38*J41</f>
        <v>0.23</v>
      </c>
      <c r="J41">
        <v>0.23</v>
      </c>
      <c r="O41">
        <f t="shared" si="10"/>
        <v>1788.72</v>
      </c>
      <c r="P41">
        <f t="shared" si="11"/>
        <v>1788.72</v>
      </c>
      <c r="Q41">
        <f t="shared" si="12"/>
        <v>0</v>
      </c>
      <c r="R41">
        <f t="shared" si="13"/>
        <v>0</v>
      </c>
      <c r="S41">
        <f t="shared" si="14"/>
        <v>0</v>
      </c>
      <c r="T41">
        <f t="shared" si="15"/>
        <v>0</v>
      </c>
      <c r="U41">
        <f t="shared" si="16"/>
        <v>0</v>
      </c>
      <c r="V41">
        <f t="shared" si="17"/>
        <v>0</v>
      </c>
      <c r="W41">
        <f t="shared" si="18"/>
        <v>0</v>
      </c>
      <c r="X41">
        <f t="shared" si="19"/>
        <v>0</v>
      </c>
      <c r="Y41">
        <f t="shared" si="20"/>
        <v>0</v>
      </c>
      <c r="AA41">
        <v>22535680</v>
      </c>
      <c r="AB41">
        <f t="shared" si="21"/>
        <v>7777.06</v>
      </c>
      <c r="AC41">
        <f>AL41</f>
        <v>7777.06</v>
      </c>
      <c r="AD41">
        <f t="shared" si="40"/>
        <v>0</v>
      </c>
      <c r="AE41">
        <f t="shared" si="40"/>
        <v>0</v>
      </c>
      <c r="AF41">
        <f t="shared" si="40"/>
        <v>0</v>
      </c>
      <c r="AG41">
        <f>AP41</f>
        <v>0</v>
      </c>
      <c r="AH41">
        <f t="shared" si="41"/>
        <v>0</v>
      </c>
      <c r="AI41">
        <f t="shared" si="41"/>
        <v>0</v>
      </c>
      <c r="AJ41">
        <f>AS41</f>
        <v>0</v>
      </c>
      <c r="AK41">
        <v>7777.06</v>
      </c>
      <c r="AL41">
        <v>7777.06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1.047</v>
      </c>
      <c r="AW41">
        <v>1</v>
      </c>
      <c r="AZ41">
        <v>1</v>
      </c>
      <c r="BA41">
        <v>1</v>
      </c>
      <c r="BB41">
        <v>1</v>
      </c>
      <c r="BC41">
        <v>1</v>
      </c>
      <c r="BH41">
        <v>3</v>
      </c>
      <c r="BI41">
        <v>1</v>
      </c>
      <c r="BJ41" t="s">
        <v>90</v>
      </c>
      <c r="BM41">
        <v>81</v>
      </c>
      <c r="BN41">
        <v>0</v>
      </c>
      <c r="BO41" t="s">
        <v>88</v>
      </c>
      <c r="BP41">
        <v>1</v>
      </c>
      <c r="BQ41">
        <v>30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0</v>
      </c>
      <c r="CA41">
        <v>0</v>
      </c>
      <c r="CF41">
        <v>0</v>
      </c>
      <c r="CG41">
        <v>0</v>
      </c>
      <c r="CM41">
        <v>0</v>
      </c>
      <c r="CO41">
        <v>0</v>
      </c>
      <c r="CP41">
        <f t="shared" si="22"/>
        <v>1788.72</v>
      </c>
      <c r="CQ41">
        <f t="shared" si="23"/>
        <v>7777.06</v>
      </c>
      <c r="CR41">
        <f t="shared" si="24"/>
        <v>0</v>
      </c>
      <c r="CS41">
        <f t="shared" si="25"/>
        <v>0</v>
      </c>
      <c r="CT41">
        <f t="shared" si="26"/>
        <v>0</v>
      </c>
      <c r="CU41">
        <f t="shared" si="27"/>
        <v>0</v>
      </c>
      <c r="CV41">
        <f t="shared" si="28"/>
        <v>0</v>
      </c>
      <c r="CW41">
        <f t="shared" si="29"/>
        <v>0</v>
      </c>
      <c r="CX41">
        <f t="shared" si="30"/>
        <v>0</v>
      </c>
      <c r="CY41">
        <f t="shared" si="31"/>
        <v>0</v>
      </c>
      <c r="CZ41">
        <f t="shared" si="32"/>
        <v>0</v>
      </c>
      <c r="DE41" t="s">
        <v>20</v>
      </c>
      <c r="DF41" t="s">
        <v>20</v>
      </c>
      <c r="DG41" t="s">
        <v>20</v>
      </c>
      <c r="DI41" t="s">
        <v>20</v>
      </c>
      <c r="DJ41" t="s">
        <v>20</v>
      </c>
      <c r="DN41">
        <v>120</v>
      </c>
      <c r="DO41">
        <v>84</v>
      </c>
      <c r="DP41">
        <v>1.047</v>
      </c>
      <c r="DQ41">
        <v>1</v>
      </c>
      <c r="DU41">
        <v>1009</v>
      </c>
      <c r="DV41" t="s">
        <v>27</v>
      </c>
      <c r="DW41" t="s">
        <v>27</v>
      </c>
      <c r="DX41">
        <v>1000</v>
      </c>
      <c r="EE41">
        <v>22534563</v>
      </c>
      <c r="EF41">
        <v>30</v>
      </c>
      <c r="EG41" t="s">
        <v>21</v>
      </c>
      <c r="EH41">
        <v>0</v>
      </c>
      <c r="EJ41">
        <v>1</v>
      </c>
      <c r="EK41">
        <v>81</v>
      </c>
      <c r="EL41" t="s">
        <v>77</v>
      </c>
      <c r="EM41" t="s">
        <v>78</v>
      </c>
      <c r="EQ41">
        <v>0</v>
      </c>
      <c r="ER41">
        <v>7777.06</v>
      </c>
      <c r="ES41">
        <v>7777.06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0</v>
      </c>
      <c r="FQ41">
        <v>0</v>
      </c>
      <c r="FR41">
        <f t="shared" si="33"/>
        <v>0</v>
      </c>
      <c r="FS41">
        <v>0</v>
      </c>
      <c r="FX41">
        <v>0</v>
      </c>
      <c r="FY41">
        <v>0</v>
      </c>
      <c r="GG41">
        <v>2</v>
      </c>
      <c r="GH41">
        <v>0</v>
      </c>
      <c r="GI41">
        <v>0</v>
      </c>
      <c r="GJ41">
        <v>0</v>
      </c>
      <c r="GK41">
        <f>ROUND(R41*(R12)/100,2)</f>
        <v>0</v>
      </c>
      <c r="GL41">
        <f t="shared" si="34"/>
        <v>0</v>
      </c>
      <c r="GM41">
        <f t="shared" si="35"/>
        <v>1788.72</v>
      </c>
      <c r="GN41">
        <f t="shared" si="36"/>
        <v>1788.72</v>
      </c>
      <c r="GO41">
        <f t="shared" si="37"/>
        <v>0</v>
      </c>
      <c r="GP41">
        <f t="shared" si="38"/>
        <v>0</v>
      </c>
      <c r="GR41">
        <v>0</v>
      </c>
    </row>
    <row r="43" spans="1:118" ht="12.75">
      <c r="A43" s="2">
        <v>51</v>
      </c>
      <c r="B43" s="2">
        <f>B20</f>
        <v>1</v>
      </c>
      <c r="C43" s="2">
        <f>A20</f>
        <v>3</v>
      </c>
      <c r="D43" s="2">
        <f>ROW(A20)</f>
        <v>20</v>
      </c>
      <c r="E43" s="2"/>
      <c r="F43" s="2" t="str">
        <f>IF(F20&lt;&gt;"",F20,"")</f>
        <v>КРОВЕЛЬНЫЕ РАБОТЫ</v>
      </c>
      <c r="G43" s="2" t="str">
        <f>IF(G20&lt;&gt;"",G20,"")</f>
        <v>КРОВЕЛЬНЫЕ РАБОТЫ</v>
      </c>
      <c r="H43" s="2"/>
      <c r="I43" s="2"/>
      <c r="J43" s="2"/>
      <c r="K43" s="2"/>
      <c r="L43" s="2"/>
      <c r="M43" s="2"/>
      <c r="N43" s="2"/>
      <c r="O43" s="2">
        <f aca="true" t="shared" si="42" ref="O43:T43">ROUND(AB43,2)</f>
        <v>30468.87</v>
      </c>
      <c r="P43" s="2">
        <f t="shared" si="42"/>
        <v>22719.68</v>
      </c>
      <c r="Q43" s="2">
        <f t="shared" si="42"/>
        <v>1813.99</v>
      </c>
      <c r="R43" s="2">
        <f t="shared" si="42"/>
        <v>209.58</v>
      </c>
      <c r="S43" s="2">
        <f t="shared" si="42"/>
        <v>5935.2</v>
      </c>
      <c r="T43" s="2">
        <f t="shared" si="42"/>
        <v>0</v>
      </c>
      <c r="U43" s="2">
        <f>AH43</f>
        <v>349.5972169999999</v>
      </c>
      <c r="V43" s="2">
        <f>AI43</f>
        <v>0</v>
      </c>
      <c r="W43" s="2">
        <f>ROUND(AJ43,2)</f>
        <v>0</v>
      </c>
      <c r="X43" s="2">
        <f>ROUND(AK43,2)</f>
        <v>6557.7</v>
      </c>
      <c r="Y43" s="2">
        <f>ROUND(AL43,2)</f>
        <v>4437.15</v>
      </c>
      <c r="Z43" s="2"/>
      <c r="AA43" s="2"/>
      <c r="AB43" s="2">
        <f>ROUND(SUMIF(AA24:AA41,"=22535680",O24:O41),2)</f>
        <v>30468.87</v>
      </c>
      <c r="AC43" s="2">
        <f>ROUND(SUMIF(AA24:AA41,"=22535680",P24:P41),2)</f>
        <v>22719.68</v>
      </c>
      <c r="AD43" s="2">
        <f>ROUND(SUMIF(AA24:AA41,"=22535680",Q24:Q41),2)</f>
        <v>1813.99</v>
      </c>
      <c r="AE43" s="2">
        <f>ROUND(SUMIF(AA24:AA41,"=22535680",R24:R41),2)</f>
        <v>209.58</v>
      </c>
      <c r="AF43" s="2">
        <f>ROUND(SUMIF(AA24:AA41,"=22535680",S24:S41),2)</f>
        <v>5935.2</v>
      </c>
      <c r="AG43" s="2">
        <f>ROUND(SUMIF(AA24:AA41,"=22535680",T24:T41),2)</f>
        <v>0</v>
      </c>
      <c r="AH43" s="2">
        <f>SUMIF(AA24:AA41,"=22535680",U24:U41)</f>
        <v>349.5972169999999</v>
      </c>
      <c r="AI43" s="2">
        <f>SUMIF(AA24:AA41,"=22535680",V24:V41)</f>
        <v>0</v>
      </c>
      <c r="AJ43" s="2">
        <f>ROUND(SUMIF(AA24:AA41,"=22535680",W24:W41),2)</f>
        <v>0</v>
      </c>
      <c r="AK43" s="2">
        <f>ROUND(SUMIF(AA24:AA41,"=22535680",X24:X41),2)</f>
        <v>6557.7</v>
      </c>
      <c r="AL43" s="2">
        <f>ROUND(SUMIF(AA24:AA41,"=22535680",Y24:Y41),2)</f>
        <v>4437.15</v>
      </c>
      <c r="AM43" s="2"/>
      <c r="AN43" s="2"/>
      <c r="AO43" s="2">
        <f aca="true" t="shared" si="43" ref="AO43:AU43">ROUND(BB43,2)</f>
        <v>0</v>
      </c>
      <c r="AP43" s="2">
        <f t="shared" si="43"/>
        <v>0</v>
      </c>
      <c r="AQ43" s="2">
        <f t="shared" si="43"/>
        <v>0</v>
      </c>
      <c r="AR43" s="2">
        <f t="shared" si="43"/>
        <v>41840.96</v>
      </c>
      <c r="AS43" s="2">
        <f t="shared" si="43"/>
        <v>41840.96</v>
      </c>
      <c r="AT43" s="2">
        <f t="shared" si="43"/>
        <v>0</v>
      </c>
      <c r="AU43" s="2">
        <f t="shared" si="43"/>
        <v>0</v>
      </c>
      <c r="AV43" s="2"/>
      <c r="AW43" s="2"/>
      <c r="AX43" s="2"/>
      <c r="AY43" s="2"/>
      <c r="AZ43" s="2"/>
      <c r="BA43" s="2"/>
      <c r="BB43" s="2">
        <f>ROUND(SUMIF(AA24:AA41,"=22535680",FQ24:FQ41),2)</f>
        <v>0</v>
      </c>
      <c r="BC43" s="2">
        <f>ROUND(SUMIF(AA24:AA41,"=22535680",FR24:FR41),2)</f>
        <v>0</v>
      </c>
      <c r="BD43" s="2">
        <f>ROUND(SUMIF(AA24:AA41,"=22535680",GL24:GL41),2)</f>
        <v>0</v>
      </c>
      <c r="BE43" s="2">
        <f>ROUND(SUMIF(AA24:AA41,"=22535680",GM24:GM41),2)</f>
        <v>41840.96</v>
      </c>
      <c r="BF43" s="2">
        <f>ROUND(SUMIF(AA24:AA41,"=22535680",GN24:GN41),2)</f>
        <v>41840.96</v>
      </c>
      <c r="BG43" s="2">
        <f>ROUND(SUMIF(AA24:AA41,"=22535680",GO24:GO41),2)</f>
        <v>0</v>
      </c>
      <c r="BH43" s="2">
        <f>ROUND(SUMIF(AA24:AA41,"=22535680",GP24:GP41),2)</f>
        <v>0</v>
      </c>
      <c r="BI43" s="2"/>
      <c r="BJ43" s="2"/>
      <c r="BK43" s="2"/>
      <c r="BL43" s="2"/>
      <c r="BM43" s="2"/>
      <c r="BN43" s="2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>
        <v>0</v>
      </c>
    </row>
    <row r="45" spans="1:16" ht="12.75">
      <c r="A45" s="4">
        <v>50</v>
      </c>
      <c r="B45" s="4">
        <v>0</v>
      </c>
      <c r="C45" s="4">
        <v>0</v>
      </c>
      <c r="D45" s="4">
        <v>1</v>
      </c>
      <c r="E45" s="4">
        <v>201</v>
      </c>
      <c r="F45" s="4">
        <f>ROUND(Source!O43,O45)</f>
        <v>30468.87</v>
      </c>
      <c r="G45" s="4" t="s">
        <v>91</v>
      </c>
      <c r="H45" s="4" t="s">
        <v>92</v>
      </c>
      <c r="I45" s="4"/>
      <c r="J45" s="4"/>
      <c r="K45" s="4">
        <v>201</v>
      </c>
      <c r="L45" s="4">
        <v>1</v>
      </c>
      <c r="M45" s="4">
        <v>3</v>
      </c>
      <c r="N45" s="4" t="s">
        <v>3</v>
      </c>
      <c r="O45" s="4">
        <v>2</v>
      </c>
      <c r="P45" s="4"/>
    </row>
    <row r="46" spans="1:16" ht="12.75">
      <c r="A46" s="4">
        <v>50</v>
      </c>
      <c r="B46" s="4">
        <v>0</v>
      </c>
      <c r="C46" s="4">
        <v>0</v>
      </c>
      <c r="D46" s="4">
        <v>1</v>
      </c>
      <c r="E46" s="4">
        <v>202</v>
      </c>
      <c r="F46" s="4">
        <f>ROUND(Source!P43,O46)</f>
        <v>22719.68</v>
      </c>
      <c r="G46" s="4" t="s">
        <v>93</v>
      </c>
      <c r="H46" s="4" t="s">
        <v>94</v>
      </c>
      <c r="I46" s="4"/>
      <c r="J46" s="4"/>
      <c r="K46" s="4">
        <v>202</v>
      </c>
      <c r="L46" s="4">
        <v>2</v>
      </c>
      <c r="M46" s="4">
        <v>3</v>
      </c>
      <c r="N46" s="4" t="s">
        <v>3</v>
      </c>
      <c r="O46" s="4">
        <v>2</v>
      </c>
      <c r="P46" s="4"/>
    </row>
    <row r="47" spans="1:16" ht="12.75">
      <c r="A47" s="4">
        <v>50</v>
      </c>
      <c r="B47" s="4">
        <v>0</v>
      </c>
      <c r="C47" s="4">
        <v>0</v>
      </c>
      <c r="D47" s="4">
        <v>1</v>
      </c>
      <c r="E47" s="4">
        <v>222</v>
      </c>
      <c r="F47" s="4">
        <f>ROUND(Source!AO43,O47)</f>
        <v>0</v>
      </c>
      <c r="G47" s="4" t="s">
        <v>95</v>
      </c>
      <c r="H47" s="4" t="s">
        <v>96</v>
      </c>
      <c r="I47" s="4"/>
      <c r="J47" s="4"/>
      <c r="K47" s="4">
        <v>222</v>
      </c>
      <c r="L47" s="4">
        <v>3</v>
      </c>
      <c r="M47" s="4">
        <v>3</v>
      </c>
      <c r="N47" s="4" t="s">
        <v>3</v>
      </c>
      <c r="O47" s="4">
        <v>2</v>
      </c>
      <c r="P47" s="4"/>
    </row>
    <row r="48" spans="1:16" ht="12.75">
      <c r="A48" s="4">
        <v>50</v>
      </c>
      <c r="B48" s="4">
        <v>0</v>
      </c>
      <c r="C48" s="4">
        <v>0</v>
      </c>
      <c r="D48" s="4">
        <v>1</v>
      </c>
      <c r="E48" s="4">
        <v>216</v>
      </c>
      <c r="F48" s="4">
        <f>ROUND(Source!AP43,O48)</f>
        <v>0</v>
      </c>
      <c r="G48" s="4" t="s">
        <v>97</v>
      </c>
      <c r="H48" s="4" t="s">
        <v>98</v>
      </c>
      <c r="I48" s="4"/>
      <c r="J48" s="4"/>
      <c r="K48" s="4">
        <v>216</v>
      </c>
      <c r="L48" s="4">
        <v>4</v>
      </c>
      <c r="M48" s="4">
        <v>3</v>
      </c>
      <c r="N48" s="4" t="s">
        <v>3</v>
      </c>
      <c r="O48" s="4">
        <v>2</v>
      </c>
      <c r="P48" s="4"/>
    </row>
    <row r="49" spans="1:16" ht="12.75">
      <c r="A49" s="4">
        <v>50</v>
      </c>
      <c r="B49" s="4">
        <v>0</v>
      </c>
      <c r="C49" s="4">
        <v>0</v>
      </c>
      <c r="D49" s="4">
        <v>1</v>
      </c>
      <c r="E49" s="4">
        <v>223</v>
      </c>
      <c r="F49" s="4">
        <f>ROUND(Source!AQ43,O49)</f>
        <v>0</v>
      </c>
      <c r="G49" s="4" t="s">
        <v>99</v>
      </c>
      <c r="H49" s="4" t="s">
        <v>100</v>
      </c>
      <c r="I49" s="4"/>
      <c r="J49" s="4"/>
      <c r="K49" s="4">
        <v>223</v>
      </c>
      <c r="L49" s="4">
        <v>5</v>
      </c>
      <c r="M49" s="4">
        <v>3</v>
      </c>
      <c r="N49" s="4" t="s">
        <v>3</v>
      </c>
      <c r="O49" s="4">
        <v>2</v>
      </c>
      <c r="P49" s="4"/>
    </row>
    <row r="50" spans="1:16" ht="12.75">
      <c r="A50" s="4">
        <v>50</v>
      </c>
      <c r="B50" s="4">
        <v>0</v>
      </c>
      <c r="C50" s="4">
        <v>0</v>
      </c>
      <c r="D50" s="4">
        <v>1</v>
      </c>
      <c r="E50" s="4">
        <v>203</v>
      </c>
      <c r="F50" s="4">
        <f>ROUND(Source!Q43,O50)</f>
        <v>1813.99</v>
      </c>
      <c r="G50" s="4" t="s">
        <v>101</v>
      </c>
      <c r="H50" s="4" t="s">
        <v>102</v>
      </c>
      <c r="I50" s="4"/>
      <c r="J50" s="4"/>
      <c r="K50" s="4">
        <v>203</v>
      </c>
      <c r="L50" s="4">
        <v>6</v>
      </c>
      <c r="M50" s="4">
        <v>3</v>
      </c>
      <c r="N50" s="4" t="s">
        <v>3</v>
      </c>
      <c r="O50" s="4">
        <v>2</v>
      </c>
      <c r="P50" s="4"/>
    </row>
    <row r="51" spans="1:16" ht="12.75">
      <c r="A51" s="4">
        <v>50</v>
      </c>
      <c r="B51" s="4">
        <v>0</v>
      </c>
      <c r="C51" s="4">
        <v>0</v>
      </c>
      <c r="D51" s="4">
        <v>1</v>
      </c>
      <c r="E51" s="4">
        <v>204</v>
      </c>
      <c r="F51" s="4">
        <f>ROUND(Source!R43,O51)</f>
        <v>209.58</v>
      </c>
      <c r="G51" s="4" t="s">
        <v>103</v>
      </c>
      <c r="H51" s="4" t="s">
        <v>104</v>
      </c>
      <c r="I51" s="4"/>
      <c r="J51" s="4"/>
      <c r="K51" s="4">
        <v>204</v>
      </c>
      <c r="L51" s="4">
        <v>7</v>
      </c>
      <c r="M51" s="4">
        <v>3</v>
      </c>
      <c r="N51" s="4" t="s">
        <v>3</v>
      </c>
      <c r="O51" s="4">
        <v>2</v>
      </c>
      <c r="P51" s="4"/>
    </row>
    <row r="52" spans="1:16" ht="12.75">
      <c r="A52" s="4">
        <v>50</v>
      </c>
      <c r="B52" s="4">
        <v>0</v>
      </c>
      <c r="C52" s="4">
        <v>0</v>
      </c>
      <c r="D52" s="4">
        <v>1</v>
      </c>
      <c r="E52" s="4">
        <v>205</v>
      </c>
      <c r="F52" s="4">
        <f>ROUND(Source!S43,O52)</f>
        <v>5935.2</v>
      </c>
      <c r="G52" s="4" t="s">
        <v>105</v>
      </c>
      <c r="H52" s="4" t="s">
        <v>106</v>
      </c>
      <c r="I52" s="4"/>
      <c r="J52" s="4"/>
      <c r="K52" s="4">
        <v>205</v>
      </c>
      <c r="L52" s="4">
        <v>8</v>
      </c>
      <c r="M52" s="4">
        <v>3</v>
      </c>
      <c r="N52" s="4" t="s">
        <v>3</v>
      </c>
      <c r="O52" s="4">
        <v>2</v>
      </c>
      <c r="P52" s="4"/>
    </row>
    <row r="53" spans="1:16" ht="12.75">
      <c r="A53" s="4">
        <v>50</v>
      </c>
      <c r="B53" s="4">
        <v>0</v>
      </c>
      <c r="C53" s="4">
        <v>0</v>
      </c>
      <c r="D53" s="4">
        <v>1</v>
      </c>
      <c r="E53" s="4">
        <v>214</v>
      </c>
      <c r="F53" s="4">
        <f>ROUND(Source!AS43,O53)</f>
        <v>41840.96</v>
      </c>
      <c r="G53" s="4" t="s">
        <v>107</v>
      </c>
      <c r="H53" s="4" t="s">
        <v>108</v>
      </c>
      <c r="I53" s="4"/>
      <c r="J53" s="4"/>
      <c r="K53" s="4">
        <v>214</v>
      </c>
      <c r="L53" s="4">
        <v>9</v>
      </c>
      <c r="M53" s="4">
        <v>3</v>
      </c>
      <c r="N53" s="4" t="s">
        <v>3</v>
      </c>
      <c r="O53" s="4">
        <v>2</v>
      </c>
      <c r="P53" s="4"/>
    </row>
    <row r="54" spans="1:16" ht="12.75">
      <c r="A54" s="4">
        <v>50</v>
      </c>
      <c r="B54" s="4">
        <v>0</v>
      </c>
      <c r="C54" s="4">
        <v>0</v>
      </c>
      <c r="D54" s="4">
        <v>1</v>
      </c>
      <c r="E54" s="4">
        <v>215</v>
      </c>
      <c r="F54" s="4">
        <f>ROUND(Source!AT43,O54)</f>
        <v>0</v>
      </c>
      <c r="G54" s="4" t="s">
        <v>109</v>
      </c>
      <c r="H54" s="4" t="s">
        <v>110</v>
      </c>
      <c r="I54" s="4"/>
      <c r="J54" s="4"/>
      <c r="K54" s="4">
        <v>215</v>
      </c>
      <c r="L54" s="4">
        <v>10</v>
      </c>
      <c r="M54" s="4">
        <v>3</v>
      </c>
      <c r="N54" s="4" t="s">
        <v>3</v>
      </c>
      <c r="O54" s="4">
        <v>2</v>
      </c>
      <c r="P54" s="4"/>
    </row>
    <row r="55" spans="1:16" ht="12.75">
      <c r="A55" s="4">
        <v>50</v>
      </c>
      <c r="B55" s="4">
        <v>0</v>
      </c>
      <c r="C55" s="4">
        <v>0</v>
      </c>
      <c r="D55" s="4">
        <v>1</v>
      </c>
      <c r="E55" s="4">
        <v>217</v>
      </c>
      <c r="F55" s="4">
        <f>ROUND(Source!AU43,O55)</f>
        <v>0</v>
      </c>
      <c r="G55" s="4" t="s">
        <v>111</v>
      </c>
      <c r="H55" s="4" t="s">
        <v>112</v>
      </c>
      <c r="I55" s="4"/>
      <c r="J55" s="4"/>
      <c r="K55" s="4">
        <v>217</v>
      </c>
      <c r="L55" s="4">
        <v>11</v>
      </c>
      <c r="M55" s="4">
        <v>3</v>
      </c>
      <c r="N55" s="4" t="s">
        <v>3</v>
      </c>
      <c r="O55" s="4">
        <v>2</v>
      </c>
      <c r="P55" s="4"/>
    </row>
    <row r="56" spans="1:16" ht="12.75">
      <c r="A56" s="4">
        <v>50</v>
      </c>
      <c r="B56" s="4">
        <v>0</v>
      </c>
      <c r="C56" s="4">
        <v>0</v>
      </c>
      <c r="D56" s="4">
        <v>1</v>
      </c>
      <c r="E56" s="4">
        <v>206</v>
      </c>
      <c r="F56" s="4">
        <f>ROUND(Source!T43,O56)</f>
        <v>0</v>
      </c>
      <c r="G56" s="4" t="s">
        <v>113</v>
      </c>
      <c r="H56" s="4" t="s">
        <v>114</v>
      </c>
      <c r="I56" s="4"/>
      <c r="J56" s="4"/>
      <c r="K56" s="4">
        <v>206</v>
      </c>
      <c r="L56" s="4">
        <v>12</v>
      </c>
      <c r="M56" s="4">
        <v>3</v>
      </c>
      <c r="N56" s="4" t="s">
        <v>3</v>
      </c>
      <c r="O56" s="4">
        <v>2</v>
      </c>
      <c r="P56" s="4"/>
    </row>
    <row r="57" spans="1:16" ht="12.75">
      <c r="A57" s="4">
        <v>50</v>
      </c>
      <c r="B57" s="4">
        <v>0</v>
      </c>
      <c r="C57" s="4">
        <v>0</v>
      </c>
      <c r="D57" s="4">
        <v>1</v>
      </c>
      <c r="E57" s="4">
        <v>207</v>
      </c>
      <c r="F57" s="4">
        <f>ROUND(Source!U43,O57)</f>
        <v>349.6</v>
      </c>
      <c r="G57" s="4" t="s">
        <v>115</v>
      </c>
      <c r="H57" s="4" t="s">
        <v>116</v>
      </c>
      <c r="I57" s="4"/>
      <c r="J57" s="4"/>
      <c r="K57" s="4">
        <v>207</v>
      </c>
      <c r="L57" s="4">
        <v>13</v>
      </c>
      <c r="M57" s="4">
        <v>3</v>
      </c>
      <c r="N57" s="4" t="s">
        <v>3</v>
      </c>
      <c r="O57" s="4">
        <v>2</v>
      </c>
      <c r="P57" s="4"/>
    </row>
    <row r="58" spans="1:16" ht="12.75">
      <c r="A58" s="4">
        <v>50</v>
      </c>
      <c r="B58" s="4">
        <v>0</v>
      </c>
      <c r="C58" s="4">
        <v>0</v>
      </c>
      <c r="D58" s="4">
        <v>1</v>
      </c>
      <c r="E58" s="4">
        <v>208</v>
      </c>
      <c r="F58" s="4">
        <f>ROUND(Source!V43,O58)</f>
        <v>0</v>
      </c>
      <c r="G58" s="4" t="s">
        <v>117</v>
      </c>
      <c r="H58" s="4" t="s">
        <v>118</v>
      </c>
      <c r="I58" s="4"/>
      <c r="J58" s="4"/>
      <c r="K58" s="4">
        <v>208</v>
      </c>
      <c r="L58" s="4">
        <v>14</v>
      </c>
      <c r="M58" s="4">
        <v>3</v>
      </c>
      <c r="N58" s="4" t="s">
        <v>3</v>
      </c>
      <c r="O58" s="4">
        <v>2</v>
      </c>
      <c r="P58" s="4"/>
    </row>
    <row r="59" spans="1:16" ht="12.75">
      <c r="A59" s="4">
        <v>50</v>
      </c>
      <c r="B59" s="4">
        <v>0</v>
      </c>
      <c r="C59" s="4">
        <v>0</v>
      </c>
      <c r="D59" s="4">
        <v>1</v>
      </c>
      <c r="E59" s="4">
        <v>209</v>
      </c>
      <c r="F59" s="4">
        <f>ROUND(Source!W43,O59)</f>
        <v>0</v>
      </c>
      <c r="G59" s="4" t="s">
        <v>119</v>
      </c>
      <c r="H59" s="4" t="s">
        <v>120</v>
      </c>
      <c r="I59" s="4"/>
      <c r="J59" s="4"/>
      <c r="K59" s="4">
        <v>209</v>
      </c>
      <c r="L59" s="4">
        <v>15</v>
      </c>
      <c r="M59" s="4">
        <v>3</v>
      </c>
      <c r="N59" s="4" t="s">
        <v>3</v>
      </c>
      <c r="O59" s="4">
        <v>2</v>
      </c>
      <c r="P59" s="4"/>
    </row>
    <row r="60" spans="1:16" ht="12.75">
      <c r="A60" s="4">
        <v>50</v>
      </c>
      <c r="B60" s="4">
        <v>0</v>
      </c>
      <c r="C60" s="4">
        <v>0</v>
      </c>
      <c r="D60" s="4">
        <v>1</v>
      </c>
      <c r="E60" s="4">
        <v>210</v>
      </c>
      <c r="F60" s="4">
        <f>ROUND(Source!X43,O60)</f>
        <v>6557.7</v>
      </c>
      <c r="G60" s="4" t="s">
        <v>121</v>
      </c>
      <c r="H60" s="4" t="s">
        <v>122</v>
      </c>
      <c r="I60" s="4"/>
      <c r="J60" s="4"/>
      <c r="K60" s="4">
        <v>210</v>
      </c>
      <c r="L60" s="4">
        <v>16</v>
      </c>
      <c r="M60" s="4">
        <v>3</v>
      </c>
      <c r="N60" s="4" t="s">
        <v>3</v>
      </c>
      <c r="O60" s="4">
        <v>2</v>
      </c>
      <c r="P60" s="4"/>
    </row>
    <row r="61" spans="1:16" ht="12.75">
      <c r="A61" s="4">
        <v>50</v>
      </c>
      <c r="B61" s="4">
        <v>0</v>
      </c>
      <c r="C61" s="4">
        <v>0</v>
      </c>
      <c r="D61" s="4">
        <v>1</v>
      </c>
      <c r="E61" s="4">
        <v>211</v>
      </c>
      <c r="F61" s="4">
        <f>ROUND(Source!Y43,O61)</f>
        <v>4437.15</v>
      </c>
      <c r="G61" s="4" t="s">
        <v>123</v>
      </c>
      <c r="H61" s="4" t="s">
        <v>124</v>
      </c>
      <c r="I61" s="4"/>
      <c r="J61" s="4"/>
      <c r="K61" s="4">
        <v>211</v>
      </c>
      <c r="L61" s="4">
        <v>17</v>
      </c>
      <c r="M61" s="4">
        <v>3</v>
      </c>
      <c r="N61" s="4" t="s">
        <v>3</v>
      </c>
      <c r="O61" s="4">
        <v>2</v>
      </c>
      <c r="P61" s="4"/>
    </row>
    <row r="62" spans="1:16" ht="12.75">
      <c r="A62" s="4">
        <v>50</v>
      </c>
      <c r="B62" s="4">
        <v>0</v>
      </c>
      <c r="C62" s="4">
        <v>0</v>
      </c>
      <c r="D62" s="4">
        <v>1</v>
      </c>
      <c r="E62" s="4">
        <v>224</v>
      </c>
      <c r="F62" s="4">
        <f>ROUND(Source!AR43,O62)</f>
        <v>41840.96</v>
      </c>
      <c r="G62" s="4" t="s">
        <v>125</v>
      </c>
      <c r="H62" s="4" t="s">
        <v>126</v>
      </c>
      <c r="I62" s="4"/>
      <c r="J62" s="4"/>
      <c r="K62" s="4">
        <v>224</v>
      </c>
      <c r="L62" s="4">
        <v>18</v>
      </c>
      <c r="M62" s="4">
        <v>3</v>
      </c>
      <c r="N62" s="4" t="s">
        <v>3</v>
      </c>
      <c r="O62" s="4">
        <v>2</v>
      </c>
      <c r="P62" s="4"/>
    </row>
    <row r="63" spans="1:16" ht="12.75">
      <c r="A63" s="4">
        <v>50</v>
      </c>
      <c r="B63" s="4">
        <v>1</v>
      </c>
      <c r="C63" s="4">
        <v>0</v>
      </c>
      <c r="D63" s="4">
        <v>2</v>
      </c>
      <c r="E63" s="4">
        <v>0</v>
      </c>
      <c r="F63" s="4">
        <f>ROUND(F45+F60+F61+F51*1.55,O63)</f>
        <v>41788.57</v>
      </c>
      <c r="G63" s="4" t="s">
        <v>127</v>
      </c>
      <c r="H63" s="4" t="s">
        <v>128</v>
      </c>
      <c r="I63" s="4"/>
      <c r="J63" s="4"/>
      <c r="K63" s="4">
        <v>212</v>
      </c>
      <c r="L63" s="4">
        <v>19</v>
      </c>
      <c r="M63" s="4">
        <v>0</v>
      </c>
      <c r="N63" s="4" t="s">
        <v>3</v>
      </c>
      <c r="O63" s="4">
        <v>2</v>
      </c>
      <c r="P63" s="4"/>
    </row>
    <row r="64" spans="1:16" ht="12.75">
      <c r="A64" s="4">
        <v>50</v>
      </c>
      <c r="B64" s="4">
        <v>1</v>
      </c>
      <c r="C64" s="4">
        <v>0</v>
      </c>
      <c r="D64" s="4">
        <v>2</v>
      </c>
      <c r="E64" s="4">
        <v>0</v>
      </c>
      <c r="F64" s="4">
        <f>ROUND(F63*0.2,O64)</f>
        <v>8357.71</v>
      </c>
      <c r="G64" s="4" t="s">
        <v>129</v>
      </c>
      <c r="H64" s="4" t="s">
        <v>130</v>
      </c>
      <c r="I64" s="4"/>
      <c r="J64" s="4"/>
      <c r="K64" s="4">
        <v>212</v>
      </c>
      <c r="L64" s="4">
        <v>20</v>
      </c>
      <c r="M64" s="4">
        <v>0</v>
      </c>
      <c r="N64" s="4" t="s">
        <v>3</v>
      </c>
      <c r="O64" s="4">
        <v>2</v>
      </c>
      <c r="P64" s="4"/>
    </row>
    <row r="65" spans="1:16" ht="12.75">
      <c r="A65" s="4">
        <v>50</v>
      </c>
      <c r="B65" s="4">
        <v>1</v>
      </c>
      <c r="C65" s="4">
        <v>0</v>
      </c>
      <c r="D65" s="4">
        <v>2</v>
      </c>
      <c r="E65" s="4">
        <v>0</v>
      </c>
      <c r="F65" s="4">
        <f>ROUND(F63+F64,O65)</f>
        <v>50146.28</v>
      </c>
      <c r="G65" s="4" t="s">
        <v>131</v>
      </c>
      <c r="H65" s="4" t="s">
        <v>132</v>
      </c>
      <c r="I65" s="4"/>
      <c r="J65" s="4"/>
      <c r="K65" s="4">
        <v>212</v>
      </c>
      <c r="L65" s="4">
        <v>21</v>
      </c>
      <c r="M65" s="4">
        <v>0</v>
      </c>
      <c r="N65" s="4" t="s">
        <v>3</v>
      </c>
      <c r="O65" s="4">
        <v>2</v>
      </c>
      <c r="P65" s="4"/>
    </row>
    <row r="67" spans="1:118" ht="12.75">
      <c r="A67" s="2">
        <v>51</v>
      </c>
      <c r="B67" s="2">
        <f>B12</f>
        <v>91</v>
      </c>
      <c r="C67" s="2">
        <f>A12</f>
        <v>1</v>
      </c>
      <c r="D67" s="2">
        <f>ROW(A12)</f>
        <v>12</v>
      </c>
      <c r="E67" s="2"/>
      <c r="F67" s="2" t="str">
        <f>IF(F12&lt;&gt;"",F12,"")</f>
        <v>ДОМ №7 (ТСН-2001. ТЕРРИТОРИАЛЬНЫЕ СМЕТНЫЕ НОРМАТИВЫ ДЛЯ МОСК</v>
      </c>
      <c r="G67" s="2" t="str">
        <f>IF(G12&lt;&gt;"",G12,"")</f>
        <v>ДОМ №7 Смета на ремонт кровли (сталь оцинкованная)</v>
      </c>
      <c r="H67" s="2"/>
      <c r="I67" s="2"/>
      <c r="J67" s="2"/>
      <c r="K67" s="2"/>
      <c r="L67" s="2"/>
      <c r="M67" s="2"/>
      <c r="N67" s="2"/>
      <c r="O67" s="2">
        <f aca="true" t="shared" si="44" ref="O67:T67">ROUND(O43,2)</f>
        <v>30468.87</v>
      </c>
      <c r="P67" s="2">
        <f t="shared" si="44"/>
        <v>22719.68</v>
      </c>
      <c r="Q67" s="2">
        <f t="shared" si="44"/>
        <v>1813.99</v>
      </c>
      <c r="R67" s="2">
        <f t="shared" si="44"/>
        <v>209.58</v>
      </c>
      <c r="S67" s="2">
        <f t="shared" si="44"/>
        <v>5935.2</v>
      </c>
      <c r="T67" s="2">
        <f t="shared" si="44"/>
        <v>0</v>
      </c>
      <c r="U67" s="2">
        <f>U43</f>
        <v>349.5972169999999</v>
      </c>
      <c r="V67" s="2">
        <f>V43</f>
        <v>0</v>
      </c>
      <c r="W67" s="2">
        <f>ROUND(W43,2)</f>
        <v>0</v>
      </c>
      <c r="X67" s="2">
        <f>ROUND(X43,2)</f>
        <v>6557.7</v>
      </c>
      <c r="Y67" s="2">
        <f>ROUND(Y43,2)</f>
        <v>4437.15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>
        <f aca="true" t="shared" si="45" ref="AO67:AU67">ROUND(AO43,2)</f>
        <v>0</v>
      </c>
      <c r="AP67" s="2">
        <f t="shared" si="45"/>
        <v>0</v>
      </c>
      <c r="AQ67" s="2">
        <f t="shared" si="45"/>
        <v>0</v>
      </c>
      <c r="AR67" s="2">
        <f t="shared" si="45"/>
        <v>41840.96</v>
      </c>
      <c r="AS67" s="2">
        <f t="shared" si="45"/>
        <v>41840.96</v>
      </c>
      <c r="AT67" s="2">
        <f t="shared" si="45"/>
        <v>0</v>
      </c>
      <c r="AU67" s="2">
        <f t="shared" si="45"/>
        <v>0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>
        <v>0</v>
      </c>
    </row>
    <row r="69" spans="1:16" ht="12.75">
      <c r="A69" s="4">
        <v>50</v>
      </c>
      <c r="B69" s="4">
        <v>0</v>
      </c>
      <c r="C69" s="4">
        <v>0</v>
      </c>
      <c r="D69" s="4">
        <v>1</v>
      </c>
      <c r="E69" s="4">
        <v>201</v>
      </c>
      <c r="F69" s="4">
        <f>ROUND(Source!O67,O69)</f>
        <v>30468.87</v>
      </c>
      <c r="G69" s="4" t="s">
        <v>91</v>
      </c>
      <c r="H69" s="4" t="s">
        <v>92</v>
      </c>
      <c r="I69" s="4"/>
      <c r="J69" s="4"/>
      <c r="K69" s="4">
        <v>201</v>
      </c>
      <c r="L69" s="4">
        <v>1</v>
      </c>
      <c r="M69" s="4">
        <v>3</v>
      </c>
      <c r="N69" s="4" t="s">
        <v>3</v>
      </c>
      <c r="O69" s="4">
        <v>2</v>
      </c>
      <c r="P69" s="4"/>
    </row>
    <row r="70" spans="1:16" ht="12.75">
      <c r="A70" s="4">
        <v>50</v>
      </c>
      <c r="B70" s="4">
        <v>0</v>
      </c>
      <c r="C70" s="4">
        <v>0</v>
      </c>
      <c r="D70" s="4">
        <v>1</v>
      </c>
      <c r="E70" s="4">
        <v>202</v>
      </c>
      <c r="F70" s="4">
        <f>ROUND(Source!P67,O70)</f>
        <v>22719.68</v>
      </c>
      <c r="G70" s="4" t="s">
        <v>93</v>
      </c>
      <c r="H70" s="4" t="s">
        <v>94</v>
      </c>
      <c r="I70" s="4"/>
      <c r="J70" s="4"/>
      <c r="K70" s="4">
        <v>202</v>
      </c>
      <c r="L70" s="4">
        <v>2</v>
      </c>
      <c r="M70" s="4">
        <v>3</v>
      </c>
      <c r="N70" s="4" t="s">
        <v>3</v>
      </c>
      <c r="O70" s="4">
        <v>2</v>
      </c>
      <c r="P70" s="4"/>
    </row>
    <row r="71" spans="1:16" ht="12.75">
      <c r="A71" s="4">
        <v>50</v>
      </c>
      <c r="B71" s="4">
        <v>0</v>
      </c>
      <c r="C71" s="4">
        <v>0</v>
      </c>
      <c r="D71" s="4">
        <v>1</v>
      </c>
      <c r="E71" s="4">
        <v>222</v>
      </c>
      <c r="F71" s="4">
        <f>ROUND(Source!AO67,O71)</f>
        <v>0</v>
      </c>
      <c r="G71" s="4" t="s">
        <v>95</v>
      </c>
      <c r="H71" s="4" t="s">
        <v>96</v>
      </c>
      <c r="I71" s="4"/>
      <c r="J71" s="4"/>
      <c r="K71" s="4">
        <v>222</v>
      </c>
      <c r="L71" s="4">
        <v>3</v>
      </c>
      <c r="M71" s="4">
        <v>3</v>
      </c>
      <c r="N71" s="4" t="s">
        <v>3</v>
      </c>
      <c r="O71" s="4">
        <v>2</v>
      </c>
      <c r="P71" s="4"/>
    </row>
    <row r="72" spans="1:16" ht="12.75">
      <c r="A72" s="4">
        <v>50</v>
      </c>
      <c r="B72" s="4">
        <v>0</v>
      </c>
      <c r="C72" s="4">
        <v>0</v>
      </c>
      <c r="D72" s="4">
        <v>1</v>
      </c>
      <c r="E72" s="4">
        <v>216</v>
      </c>
      <c r="F72" s="4">
        <f>ROUND(Source!AP67,O72)</f>
        <v>0</v>
      </c>
      <c r="G72" s="4" t="s">
        <v>97</v>
      </c>
      <c r="H72" s="4" t="s">
        <v>98</v>
      </c>
      <c r="I72" s="4"/>
      <c r="J72" s="4"/>
      <c r="K72" s="4">
        <v>216</v>
      </c>
      <c r="L72" s="4">
        <v>4</v>
      </c>
      <c r="M72" s="4">
        <v>3</v>
      </c>
      <c r="N72" s="4" t="s">
        <v>3</v>
      </c>
      <c r="O72" s="4">
        <v>2</v>
      </c>
      <c r="P72" s="4"/>
    </row>
    <row r="73" spans="1:16" ht="12.75">
      <c r="A73" s="4">
        <v>50</v>
      </c>
      <c r="B73" s="4">
        <v>0</v>
      </c>
      <c r="C73" s="4">
        <v>0</v>
      </c>
      <c r="D73" s="4">
        <v>1</v>
      </c>
      <c r="E73" s="4">
        <v>223</v>
      </c>
      <c r="F73" s="4">
        <f>ROUND(Source!AQ67,O73)</f>
        <v>0</v>
      </c>
      <c r="G73" s="4" t="s">
        <v>99</v>
      </c>
      <c r="H73" s="4" t="s">
        <v>100</v>
      </c>
      <c r="I73" s="4"/>
      <c r="J73" s="4"/>
      <c r="K73" s="4">
        <v>223</v>
      </c>
      <c r="L73" s="4">
        <v>5</v>
      </c>
      <c r="M73" s="4">
        <v>3</v>
      </c>
      <c r="N73" s="4" t="s">
        <v>3</v>
      </c>
      <c r="O73" s="4">
        <v>2</v>
      </c>
      <c r="P73" s="4"/>
    </row>
    <row r="74" spans="1:16" ht="12.75">
      <c r="A74" s="4">
        <v>50</v>
      </c>
      <c r="B74" s="4">
        <v>0</v>
      </c>
      <c r="C74" s="4">
        <v>0</v>
      </c>
      <c r="D74" s="4">
        <v>1</v>
      </c>
      <c r="E74" s="4">
        <v>203</v>
      </c>
      <c r="F74" s="4">
        <f>ROUND(Source!Q67,O74)</f>
        <v>1813.99</v>
      </c>
      <c r="G74" s="4" t="s">
        <v>101</v>
      </c>
      <c r="H74" s="4" t="s">
        <v>102</v>
      </c>
      <c r="I74" s="4"/>
      <c r="J74" s="4"/>
      <c r="K74" s="4">
        <v>203</v>
      </c>
      <c r="L74" s="4">
        <v>6</v>
      </c>
      <c r="M74" s="4">
        <v>3</v>
      </c>
      <c r="N74" s="4" t="s">
        <v>3</v>
      </c>
      <c r="O74" s="4">
        <v>2</v>
      </c>
      <c r="P74" s="4"/>
    </row>
    <row r="75" spans="1:16" ht="12.75">
      <c r="A75" s="4">
        <v>50</v>
      </c>
      <c r="B75" s="4">
        <v>0</v>
      </c>
      <c r="C75" s="4">
        <v>0</v>
      </c>
      <c r="D75" s="4">
        <v>1</v>
      </c>
      <c r="E75" s="4">
        <v>204</v>
      </c>
      <c r="F75" s="4">
        <f>ROUND(Source!R67,O75)</f>
        <v>209.58</v>
      </c>
      <c r="G75" s="4" t="s">
        <v>103</v>
      </c>
      <c r="H75" s="4" t="s">
        <v>104</v>
      </c>
      <c r="I75" s="4"/>
      <c r="J75" s="4"/>
      <c r="K75" s="4">
        <v>204</v>
      </c>
      <c r="L75" s="4">
        <v>7</v>
      </c>
      <c r="M75" s="4">
        <v>3</v>
      </c>
      <c r="N75" s="4" t="s">
        <v>3</v>
      </c>
      <c r="O75" s="4">
        <v>2</v>
      </c>
      <c r="P75" s="4"/>
    </row>
    <row r="76" spans="1:16" ht="12.75">
      <c r="A76" s="4">
        <v>50</v>
      </c>
      <c r="B76" s="4">
        <v>0</v>
      </c>
      <c r="C76" s="4">
        <v>0</v>
      </c>
      <c r="D76" s="4">
        <v>1</v>
      </c>
      <c r="E76" s="4">
        <v>205</v>
      </c>
      <c r="F76" s="4">
        <f>ROUND(Source!S67,O76)</f>
        <v>5935.2</v>
      </c>
      <c r="G76" s="4" t="s">
        <v>105</v>
      </c>
      <c r="H76" s="4" t="s">
        <v>106</v>
      </c>
      <c r="I76" s="4"/>
      <c r="J76" s="4"/>
      <c r="K76" s="4">
        <v>205</v>
      </c>
      <c r="L76" s="4">
        <v>8</v>
      </c>
      <c r="M76" s="4">
        <v>3</v>
      </c>
      <c r="N76" s="4" t="s">
        <v>3</v>
      </c>
      <c r="O76" s="4">
        <v>2</v>
      </c>
      <c r="P76" s="4"/>
    </row>
    <row r="77" spans="1:16" ht="12.75">
      <c r="A77" s="4">
        <v>50</v>
      </c>
      <c r="B77" s="4">
        <v>0</v>
      </c>
      <c r="C77" s="4">
        <v>0</v>
      </c>
      <c r="D77" s="4">
        <v>1</v>
      </c>
      <c r="E77" s="4">
        <v>214</v>
      </c>
      <c r="F77" s="4">
        <f>ROUND(Source!AS67,O77)</f>
        <v>41840.96</v>
      </c>
      <c r="G77" s="4" t="s">
        <v>107</v>
      </c>
      <c r="H77" s="4" t="s">
        <v>108</v>
      </c>
      <c r="I77" s="4"/>
      <c r="J77" s="4"/>
      <c r="K77" s="4">
        <v>214</v>
      </c>
      <c r="L77" s="4">
        <v>9</v>
      </c>
      <c r="M77" s="4">
        <v>3</v>
      </c>
      <c r="N77" s="4" t="s">
        <v>3</v>
      </c>
      <c r="O77" s="4">
        <v>2</v>
      </c>
      <c r="P77" s="4"/>
    </row>
    <row r="78" spans="1:16" ht="12.75">
      <c r="A78" s="4">
        <v>50</v>
      </c>
      <c r="B78" s="4">
        <v>0</v>
      </c>
      <c r="C78" s="4">
        <v>0</v>
      </c>
      <c r="D78" s="4">
        <v>1</v>
      </c>
      <c r="E78" s="4">
        <v>215</v>
      </c>
      <c r="F78" s="4">
        <f>ROUND(Source!AT67,O78)</f>
        <v>0</v>
      </c>
      <c r="G78" s="4" t="s">
        <v>109</v>
      </c>
      <c r="H78" s="4" t="s">
        <v>110</v>
      </c>
      <c r="I78" s="4"/>
      <c r="J78" s="4"/>
      <c r="K78" s="4">
        <v>215</v>
      </c>
      <c r="L78" s="4">
        <v>10</v>
      </c>
      <c r="M78" s="4">
        <v>3</v>
      </c>
      <c r="N78" s="4" t="s">
        <v>3</v>
      </c>
      <c r="O78" s="4">
        <v>2</v>
      </c>
      <c r="P78" s="4"/>
    </row>
    <row r="79" spans="1:16" ht="12.75">
      <c r="A79" s="4">
        <v>50</v>
      </c>
      <c r="B79" s="4">
        <v>0</v>
      </c>
      <c r="C79" s="4">
        <v>0</v>
      </c>
      <c r="D79" s="4">
        <v>1</v>
      </c>
      <c r="E79" s="4">
        <v>217</v>
      </c>
      <c r="F79" s="4">
        <f>ROUND(Source!AU67,O79)</f>
        <v>0</v>
      </c>
      <c r="G79" s="4" t="s">
        <v>111</v>
      </c>
      <c r="H79" s="4" t="s">
        <v>112</v>
      </c>
      <c r="I79" s="4"/>
      <c r="J79" s="4"/>
      <c r="K79" s="4">
        <v>217</v>
      </c>
      <c r="L79" s="4">
        <v>11</v>
      </c>
      <c r="M79" s="4">
        <v>3</v>
      </c>
      <c r="N79" s="4" t="s">
        <v>3</v>
      </c>
      <c r="O79" s="4">
        <v>2</v>
      </c>
      <c r="P79" s="4"/>
    </row>
    <row r="80" spans="1:16" ht="12.75">
      <c r="A80" s="4">
        <v>50</v>
      </c>
      <c r="B80" s="4">
        <v>0</v>
      </c>
      <c r="C80" s="4">
        <v>0</v>
      </c>
      <c r="D80" s="4">
        <v>1</v>
      </c>
      <c r="E80" s="4">
        <v>206</v>
      </c>
      <c r="F80" s="4">
        <f>ROUND(Source!T67,O80)</f>
        <v>0</v>
      </c>
      <c r="G80" s="4" t="s">
        <v>113</v>
      </c>
      <c r="H80" s="4" t="s">
        <v>114</v>
      </c>
      <c r="I80" s="4"/>
      <c r="J80" s="4"/>
      <c r="K80" s="4">
        <v>206</v>
      </c>
      <c r="L80" s="4">
        <v>12</v>
      </c>
      <c r="M80" s="4">
        <v>3</v>
      </c>
      <c r="N80" s="4" t="s">
        <v>3</v>
      </c>
      <c r="O80" s="4">
        <v>2</v>
      </c>
      <c r="P80" s="4"/>
    </row>
    <row r="81" spans="1:16" ht="12.75">
      <c r="A81" s="4">
        <v>50</v>
      </c>
      <c r="B81" s="4">
        <v>0</v>
      </c>
      <c r="C81" s="4">
        <v>0</v>
      </c>
      <c r="D81" s="4">
        <v>1</v>
      </c>
      <c r="E81" s="4">
        <v>207</v>
      </c>
      <c r="F81" s="4">
        <f>ROUND(Source!U67,O81)</f>
        <v>349.6</v>
      </c>
      <c r="G81" s="4" t="s">
        <v>115</v>
      </c>
      <c r="H81" s="4" t="s">
        <v>116</v>
      </c>
      <c r="I81" s="4"/>
      <c r="J81" s="4"/>
      <c r="K81" s="4">
        <v>207</v>
      </c>
      <c r="L81" s="4">
        <v>13</v>
      </c>
      <c r="M81" s="4">
        <v>3</v>
      </c>
      <c r="N81" s="4" t="s">
        <v>3</v>
      </c>
      <c r="O81" s="4">
        <v>2</v>
      </c>
      <c r="P81" s="4"/>
    </row>
    <row r="82" spans="1:16" ht="12.75">
      <c r="A82" s="4">
        <v>50</v>
      </c>
      <c r="B82" s="4">
        <v>0</v>
      </c>
      <c r="C82" s="4">
        <v>0</v>
      </c>
      <c r="D82" s="4">
        <v>1</v>
      </c>
      <c r="E82" s="4">
        <v>208</v>
      </c>
      <c r="F82" s="4">
        <f>ROUND(Source!V67,O82)</f>
        <v>0</v>
      </c>
      <c r="G82" s="4" t="s">
        <v>117</v>
      </c>
      <c r="H82" s="4" t="s">
        <v>118</v>
      </c>
      <c r="I82" s="4"/>
      <c r="J82" s="4"/>
      <c r="K82" s="4">
        <v>208</v>
      </c>
      <c r="L82" s="4">
        <v>14</v>
      </c>
      <c r="M82" s="4">
        <v>3</v>
      </c>
      <c r="N82" s="4" t="s">
        <v>3</v>
      </c>
      <c r="O82" s="4">
        <v>2</v>
      </c>
      <c r="P82" s="4"/>
    </row>
    <row r="83" spans="1:16" ht="12.75">
      <c r="A83" s="4">
        <v>50</v>
      </c>
      <c r="B83" s="4">
        <v>0</v>
      </c>
      <c r="C83" s="4">
        <v>0</v>
      </c>
      <c r="D83" s="4">
        <v>1</v>
      </c>
      <c r="E83" s="4">
        <v>209</v>
      </c>
      <c r="F83" s="4">
        <f>ROUND(Source!W67,O83)</f>
        <v>0</v>
      </c>
      <c r="G83" s="4" t="s">
        <v>119</v>
      </c>
      <c r="H83" s="4" t="s">
        <v>120</v>
      </c>
      <c r="I83" s="4"/>
      <c r="J83" s="4"/>
      <c r="K83" s="4">
        <v>209</v>
      </c>
      <c r="L83" s="4">
        <v>15</v>
      </c>
      <c r="M83" s="4">
        <v>3</v>
      </c>
      <c r="N83" s="4" t="s">
        <v>3</v>
      </c>
      <c r="O83" s="4">
        <v>2</v>
      </c>
      <c r="P83" s="4"/>
    </row>
    <row r="84" spans="1:16" ht="12.75">
      <c r="A84" s="4">
        <v>50</v>
      </c>
      <c r="B84" s="4">
        <v>0</v>
      </c>
      <c r="C84" s="4">
        <v>0</v>
      </c>
      <c r="D84" s="4">
        <v>1</v>
      </c>
      <c r="E84" s="4">
        <v>210</v>
      </c>
      <c r="F84" s="4">
        <f>ROUND(Source!X67,O84)</f>
        <v>6557.7</v>
      </c>
      <c r="G84" s="4" t="s">
        <v>121</v>
      </c>
      <c r="H84" s="4" t="s">
        <v>122</v>
      </c>
      <c r="I84" s="4"/>
      <c r="J84" s="4"/>
      <c r="K84" s="4">
        <v>210</v>
      </c>
      <c r="L84" s="4">
        <v>16</v>
      </c>
      <c r="M84" s="4">
        <v>3</v>
      </c>
      <c r="N84" s="4" t="s">
        <v>3</v>
      </c>
      <c r="O84" s="4">
        <v>2</v>
      </c>
      <c r="P84" s="4"/>
    </row>
    <row r="85" spans="1:16" ht="12.75">
      <c r="A85" s="4">
        <v>50</v>
      </c>
      <c r="B85" s="4">
        <v>0</v>
      </c>
      <c r="C85" s="4">
        <v>0</v>
      </c>
      <c r="D85" s="4">
        <v>1</v>
      </c>
      <c r="E85" s="4">
        <v>211</v>
      </c>
      <c r="F85" s="4">
        <f>ROUND(Source!Y67,O85)</f>
        <v>4437.15</v>
      </c>
      <c r="G85" s="4" t="s">
        <v>123</v>
      </c>
      <c r="H85" s="4" t="s">
        <v>124</v>
      </c>
      <c r="I85" s="4"/>
      <c r="J85" s="4"/>
      <c r="K85" s="4">
        <v>211</v>
      </c>
      <c r="L85" s="4">
        <v>17</v>
      </c>
      <c r="M85" s="4">
        <v>3</v>
      </c>
      <c r="N85" s="4" t="s">
        <v>3</v>
      </c>
      <c r="O85" s="4">
        <v>2</v>
      </c>
      <c r="P85" s="4"/>
    </row>
    <row r="86" spans="1:16" ht="12.75">
      <c r="A86" s="4">
        <v>50</v>
      </c>
      <c r="B86" s="4">
        <v>0</v>
      </c>
      <c r="C86" s="4">
        <v>0</v>
      </c>
      <c r="D86" s="4">
        <v>1</v>
      </c>
      <c r="E86" s="4">
        <v>224</v>
      </c>
      <c r="F86" s="4">
        <f>ROUND(Source!AR67,O86)</f>
        <v>41840.96</v>
      </c>
      <c r="G86" s="4" t="s">
        <v>125</v>
      </c>
      <c r="H86" s="4" t="s">
        <v>126</v>
      </c>
      <c r="I86" s="4"/>
      <c r="J86" s="4"/>
      <c r="K86" s="4">
        <v>224</v>
      </c>
      <c r="L86" s="4">
        <v>18</v>
      </c>
      <c r="M86" s="4">
        <v>3</v>
      </c>
      <c r="N86" s="4" t="s">
        <v>3</v>
      </c>
      <c r="O86" s="4">
        <v>2</v>
      </c>
      <c r="P86" s="4"/>
    </row>
    <row r="89" ht="12.75">
      <c r="A89">
        <v>-1</v>
      </c>
    </row>
    <row r="91" spans="1:15" ht="12.75">
      <c r="A91">
        <v>75</v>
      </c>
      <c r="B91" t="s">
        <v>133</v>
      </c>
      <c r="C91">
        <v>2000</v>
      </c>
      <c r="D91">
        <v>0</v>
      </c>
      <c r="E91">
        <v>1</v>
      </c>
      <c r="F91">
        <v>1</v>
      </c>
      <c r="G91">
        <v>0</v>
      </c>
      <c r="H91">
        <v>2</v>
      </c>
      <c r="I91">
        <v>1</v>
      </c>
      <c r="J91">
        <v>1</v>
      </c>
      <c r="K91">
        <v>94</v>
      </c>
      <c r="L91">
        <v>86</v>
      </c>
      <c r="M91">
        <v>0</v>
      </c>
      <c r="N91">
        <v>22535680</v>
      </c>
      <c r="O91">
        <v>1</v>
      </c>
    </row>
    <row r="95" spans="1:5" ht="12.75">
      <c r="A95">
        <v>65</v>
      </c>
      <c r="C95">
        <v>1</v>
      </c>
      <c r="D95">
        <v>0</v>
      </c>
      <c r="E95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134</v>
      </c>
      <c r="F1">
        <v>0</v>
      </c>
      <c r="G1">
        <v>0</v>
      </c>
      <c r="H1">
        <v>0</v>
      </c>
      <c r="I1" t="s">
        <v>2</v>
      </c>
      <c r="K1">
        <v>1</v>
      </c>
      <c r="L1">
        <v>48816</v>
      </c>
    </row>
    <row r="12" spans="1:133" ht="12.75">
      <c r="A12">
        <v>1</v>
      </c>
      <c r="B12">
        <v>42</v>
      </c>
      <c r="C12">
        <v>0</v>
      </c>
      <c r="E12">
        <v>0</v>
      </c>
      <c r="F12" t="s">
        <v>4</v>
      </c>
      <c r="G12" t="s">
        <v>5</v>
      </c>
      <c r="I12">
        <v>0</v>
      </c>
      <c r="O12">
        <v>0</v>
      </c>
      <c r="P12">
        <v>0</v>
      </c>
      <c r="Q12">
        <v>0</v>
      </c>
      <c r="R12">
        <v>180</v>
      </c>
      <c r="V12">
        <v>0</v>
      </c>
      <c r="BH12" t="s">
        <v>6</v>
      </c>
      <c r="BI12" t="s">
        <v>7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-1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 t="s">
        <v>8</v>
      </c>
      <c r="BZ12" t="s">
        <v>9</v>
      </c>
      <c r="CA12" t="s">
        <v>10</v>
      </c>
      <c r="CB12" t="s">
        <v>10</v>
      </c>
      <c r="CC12" t="s">
        <v>10</v>
      </c>
      <c r="CD12" t="s">
        <v>10</v>
      </c>
      <c r="CE12" t="s">
        <v>11</v>
      </c>
      <c r="CF12">
        <v>0</v>
      </c>
      <c r="CG12">
        <v>0</v>
      </c>
      <c r="CH12">
        <v>0</v>
      </c>
      <c r="EC12">
        <v>0</v>
      </c>
    </row>
    <row r="14" spans="1:5" ht="12.75">
      <c r="A14">
        <v>22</v>
      </c>
      <c r="B14">
        <v>0</v>
      </c>
      <c r="C14">
        <v>0</v>
      </c>
      <c r="D14">
        <v>22535680</v>
      </c>
      <c r="E14">
        <v>0</v>
      </c>
    </row>
    <row r="16" spans="1:63" ht="12.75">
      <c r="A16">
        <v>3</v>
      </c>
      <c r="B16">
        <v>1</v>
      </c>
      <c r="C16" t="s">
        <v>12</v>
      </c>
      <c r="D16" t="s">
        <v>12</v>
      </c>
      <c r="E16">
        <v>41.84</v>
      </c>
      <c r="F16">
        <v>0</v>
      </c>
      <c r="G16">
        <v>0</v>
      </c>
      <c r="H16">
        <v>0</v>
      </c>
      <c r="I16">
        <v>41.84</v>
      </c>
      <c r="J16">
        <v>5.94</v>
      </c>
      <c r="AI16">
        <v>0</v>
      </c>
      <c r="AJ16">
        <v>1</v>
      </c>
      <c r="AN16">
        <v>0</v>
      </c>
      <c r="AT16">
        <v>30468.87</v>
      </c>
      <c r="AU16">
        <v>22719.68</v>
      </c>
      <c r="AV16">
        <v>0</v>
      </c>
      <c r="AW16">
        <v>0</v>
      </c>
      <c r="AX16">
        <v>0</v>
      </c>
      <c r="AY16">
        <v>1813.99</v>
      </c>
      <c r="AZ16">
        <v>209.58</v>
      </c>
      <c r="BA16">
        <v>5935.2</v>
      </c>
      <c r="BB16">
        <v>41840.96</v>
      </c>
      <c r="BC16">
        <v>0</v>
      </c>
      <c r="BD16">
        <v>0</v>
      </c>
      <c r="BE16">
        <v>0</v>
      </c>
      <c r="BF16">
        <v>349.6</v>
      </c>
      <c r="BG16">
        <v>0</v>
      </c>
      <c r="BH16">
        <v>0</v>
      </c>
      <c r="BI16">
        <v>6557.7</v>
      </c>
      <c r="BJ16">
        <v>4437.15</v>
      </c>
      <c r="BK16">
        <v>41840.96</v>
      </c>
    </row>
    <row r="18" spans="1:10" ht="12.75">
      <c r="A18">
        <v>51</v>
      </c>
      <c r="E18">
        <v>41.84</v>
      </c>
      <c r="F18">
        <v>0</v>
      </c>
      <c r="G18">
        <v>0</v>
      </c>
      <c r="H18">
        <v>0</v>
      </c>
      <c r="I18">
        <v>41.84</v>
      </c>
      <c r="J18">
        <v>5.94</v>
      </c>
    </row>
    <row r="20" spans="1:15" ht="12.75">
      <c r="A20">
        <v>50</v>
      </c>
      <c r="B20">
        <v>0</v>
      </c>
      <c r="C20">
        <v>0</v>
      </c>
      <c r="D20">
        <v>1</v>
      </c>
      <c r="E20">
        <v>201</v>
      </c>
      <c r="F20">
        <v>30468.87</v>
      </c>
      <c r="G20" t="s">
        <v>91</v>
      </c>
      <c r="H20" t="s">
        <v>92</v>
      </c>
      <c r="K20">
        <v>201</v>
      </c>
      <c r="L20">
        <v>1</v>
      </c>
      <c r="M20">
        <v>3</v>
      </c>
      <c r="O20">
        <v>2</v>
      </c>
    </row>
    <row r="21" spans="1:15" ht="12.75">
      <c r="A21">
        <v>50</v>
      </c>
      <c r="B21">
        <v>0</v>
      </c>
      <c r="C21">
        <v>0</v>
      </c>
      <c r="D21">
        <v>1</v>
      </c>
      <c r="E21">
        <v>202</v>
      </c>
      <c r="F21">
        <v>22719.68</v>
      </c>
      <c r="G21" t="s">
        <v>93</v>
      </c>
      <c r="H21" t="s">
        <v>94</v>
      </c>
      <c r="K21">
        <v>202</v>
      </c>
      <c r="L21">
        <v>2</v>
      </c>
      <c r="M21">
        <v>3</v>
      </c>
      <c r="O21">
        <v>2</v>
      </c>
    </row>
    <row r="22" spans="1:15" ht="12.75">
      <c r="A22">
        <v>50</v>
      </c>
      <c r="B22">
        <v>0</v>
      </c>
      <c r="C22">
        <v>0</v>
      </c>
      <c r="D22">
        <v>1</v>
      </c>
      <c r="E22">
        <v>222</v>
      </c>
      <c r="F22">
        <v>0</v>
      </c>
      <c r="G22" t="s">
        <v>95</v>
      </c>
      <c r="H22" t="s">
        <v>96</v>
      </c>
      <c r="K22">
        <v>222</v>
      </c>
      <c r="L22">
        <v>3</v>
      </c>
      <c r="M22">
        <v>3</v>
      </c>
      <c r="O22">
        <v>2</v>
      </c>
    </row>
    <row r="23" spans="1:15" ht="12.75">
      <c r="A23">
        <v>50</v>
      </c>
      <c r="B23">
        <v>0</v>
      </c>
      <c r="C23">
        <v>0</v>
      </c>
      <c r="D23">
        <v>1</v>
      </c>
      <c r="E23">
        <v>216</v>
      </c>
      <c r="F23">
        <v>0</v>
      </c>
      <c r="G23" t="s">
        <v>97</v>
      </c>
      <c r="H23" t="s">
        <v>98</v>
      </c>
      <c r="K23">
        <v>216</v>
      </c>
      <c r="L23">
        <v>4</v>
      </c>
      <c r="M23">
        <v>3</v>
      </c>
      <c r="O23">
        <v>2</v>
      </c>
    </row>
    <row r="24" spans="1:15" ht="12.75">
      <c r="A24">
        <v>50</v>
      </c>
      <c r="B24">
        <v>0</v>
      </c>
      <c r="C24">
        <v>0</v>
      </c>
      <c r="D24">
        <v>1</v>
      </c>
      <c r="E24">
        <v>223</v>
      </c>
      <c r="F24">
        <v>0</v>
      </c>
      <c r="G24" t="s">
        <v>99</v>
      </c>
      <c r="H24" t="s">
        <v>100</v>
      </c>
      <c r="K24">
        <v>223</v>
      </c>
      <c r="L24">
        <v>5</v>
      </c>
      <c r="M24">
        <v>3</v>
      </c>
      <c r="O24">
        <v>2</v>
      </c>
    </row>
    <row r="25" spans="1:15" ht="12.75">
      <c r="A25">
        <v>50</v>
      </c>
      <c r="B25">
        <v>0</v>
      </c>
      <c r="C25">
        <v>0</v>
      </c>
      <c r="D25">
        <v>1</v>
      </c>
      <c r="E25">
        <v>203</v>
      </c>
      <c r="F25">
        <v>1813.99</v>
      </c>
      <c r="G25" t="s">
        <v>101</v>
      </c>
      <c r="H25" t="s">
        <v>102</v>
      </c>
      <c r="K25">
        <v>203</v>
      </c>
      <c r="L25">
        <v>6</v>
      </c>
      <c r="M25">
        <v>3</v>
      </c>
      <c r="O25">
        <v>2</v>
      </c>
    </row>
    <row r="26" spans="1:15" ht="12.75">
      <c r="A26">
        <v>50</v>
      </c>
      <c r="B26">
        <v>0</v>
      </c>
      <c r="C26">
        <v>0</v>
      </c>
      <c r="D26">
        <v>1</v>
      </c>
      <c r="E26">
        <v>204</v>
      </c>
      <c r="F26">
        <v>209.58</v>
      </c>
      <c r="G26" t="s">
        <v>103</v>
      </c>
      <c r="H26" t="s">
        <v>104</v>
      </c>
      <c r="K26">
        <v>204</v>
      </c>
      <c r="L26">
        <v>7</v>
      </c>
      <c r="M26">
        <v>3</v>
      </c>
      <c r="O26">
        <v>2</v>
      </c>
    </row>
    <row r="27" spans="1:15" ht="12.75">
      <c r="A27">
        <v>50</v>
      </c>
      <c r="B27">
        <v>0</v>
      </c>
      <c r="C27">
        <v>0</v>
      </c>
      <c r="D27">
        <v>1</v>
      </c>
      <c r="E27">
        <v>205</v>
      </c>
      <c r="F27">
        <v>5935.2</v>
      </c>
      <c r="G27" t="s">
        <v>105</v>
      </c>
      <c r="H27" t="s">
        <v>106</v>
      </c>
      <c r="K27">
        <v>205</v>
      </c>
      <c r="L27">
        <v>8</v>
      </c>
      <c r="M27">
        <v>3</v>
      </c>
      <c r="O27">
        <v>2</v>
      </c>
    </row>
    <row r="28" spans="1:15" ht="12.75">
      <c r="A28">
        <v>50</v>
      </c>
      <c r="B28">
        <v>0</v>
      </c>
      <c r="C28">
        <v>0</v>
      </c>
      <c r="D28">
        <v>1</v>
      </c>
      <c r="E28">
        <v>214</v>
      </c>
      <c r="F28">
        <v>41840.96</v>
      </c>
      <c r="G28" t="s">
        <v>107</v>
      </c>
      <c r="H28" t="s">
        <v>108</v>
      </c>
      <c r="K28">
        <v>214</v>
      </c>
      <c r="L28">
        <v>9</v>
      </c>
      <c r="M28">
        <v>3</v>
      </c>
      <c r="O28">
        <v>2</v>
      </c>
    </row>
    <row r="29" spans="1:15" ht="12.75">
      <c r="A29">
        <v>50</v>
      </c>
      <c r="B29">
        <v>0</v>
      </c>
      <c r="C29">
        <v>0</v>
      </c>
      <c r="D29">
        <v>1</v>
      </c>
      <c r="E29">
        <v>215</v>
      </c>
      <c r="F29">
        <v>0</v>
      </c>
      <c r="G29" t="s">
        <v>109</v>
      </c>
      <c r="H29" t="s">
        <v>110</v>
      </c>
      <c r="K29">
        <v>215</v>
      </c>
      <c r="L29">
        <v>10</v>
      </c>
      <c r="M29">
        <v>3</v>
      </c>
      <c r="O29">
        <v>2</v>
      </c>
    </row>
    <row r="30" spans="1:15" ht="12.75">
      <c r="A30">
        <v>50</v>
      </c>
      <c r="B30">
        <v>0</v>
      </c>
      <c r="C30">
        <v>0</v>
      </c>
      <c r="D30">
        <v>1</v>
      </c>
      <c r="E30">
        <v>217</v>
      </c>
      <c r="F30">
        <v>0</v>
      </c>
      <c r="G30" t="s">
        <v>111</v>
      </c>
      <c r="H30" t="s">
        <v>112</v>
      </c>
      <c r="K30">
        <v>217</v>
      </c>
      <c r="L30">
        <v>11</v>
      </c>
      <c r="M30">
        <v>3</v>
      </c>
      <c r="O30">
        <v>2</v>
      </c>
    </row>
    <row r="31" spans="1:15" ht="12.75">
      <c r="A31">
        <v>50</v>
      </c>
      <c r="B31">
        <v>0</v>
      </c>
      <c r="C31">
        <v>0</v>
      </c>
      <c r="D31">
        <v>1</v>
      </c>
      <c r="E31">
        <v>206</v>
      </c>
      <c r="F31">
        <v>0</v>
      </c>
      <c r="G31" t="s">
        <v>113</v>
      </c>
      <c r="H31" t="s">
        <v>114</v>
      </c>
      <c r="K31">
        <v>206</v>
      </c>
      <c r="L31">
        <v>12</v>
      </c>
      <c r="M31">
        <v>3</v>
      </c>
      <c r="O31">
        <v>2</v>
      </c>
    </row>
    <row r="32" spans="1:15" ht="12.75">
      <c r="A32">
        <v>50</v>
      </c>
      <c r="B32">
        <v>0</v>
      </c>
      <c r="C32">
        <v>0</v>
      </c>
      <c r="D32">
        <v>1</v>
      </c>
      <c r="E32">
        <v>207</v>
      </c>
      <c r="F32">
        <v>349.6</v>
      </c>
      <c r="G32" t="s">
        <v>115</v>
      </c>
      <c r="H32" t="s">
        <v>116</v>
      </c>
      <c r="K32">
        <v>207</v>
      </c>
      <c r="L32">
        <v>13</v>
      </c>
      <c r="M32">
        <v>3</v>
      </c>
      <c r="O32">
        <v>2</v>
      </c>
    </row>
    <row r="33" spans="1:15" ht="12.75">
      <c r="A33">
        <v>50</v>
      </c>
      <c r="B33">
        <v>0</v>
      </c>
      <c r="C33">
        <v>0</v>
      </c>
      <c r="D33">
        <v>1</v>
      </c>
      <c r="E33">
        <v>208</v>
      </c>
      <c r="F33">
        <v>0</v>
      </c>
      <c r="G33" t="s">
        <v>117</v>
      </c>
      <c r="H33" t="s">
        <v>118</v>
      </c>
      <c r="K33">
        <v>208</v>
      </c>
      <c r="L33">
        <v>14</v>
      </c>
      <c r="M33">
        <v>3</v>
      </c>
      <c r="O33">
        <v>2</v>
      </c>
    </row>
    <row r="34" spans="1:15" ht="12.75">
      <c r="A34">
        <v>50</v>
      </c>
      <c r="B34">
        <v>0</v>
      </c>
      <c r="C34">
        <v>0</v>
      </c>
      <c r="D34">
        <v>1</v>
      </c>
      <c r="E34">
        <v>209</v>
      </c>
      <c r="F34">
        <v>0</v>
      </c>
      <c r="G34" t="s">
        <v>119</v>
      </c>
      <c r="H34" t="s">
        <v>120</v>
      </c>
      <c r="K34">
        <v>209</v>
      </c>
      <c r="L34">
        <v>15</v>
      </c>
      <c r="M34">
        <v>3</v>
      </c>
      <c r="O34">
        <v>2</v>
      </c>
    </row>
    <row r="35" spans="1:15" ht="12.75">
      <c r="A35">
        <v>50</v>
      </c>
      <c r="B35">
        <v>0</v>
      </c>
      <c r="C35">
        <v>0</v>
      </c>
      <c r="D35">
        <v>1</v>
      </c>
      <c r="E35">
        <v>210</v>
      </c>
      <c r="F35">
        <v>6557.7</v>
      </c>
      <c r="G35" t="s">
        <v>121</v>
      </c>
      <c r="H35" t="s">
        <v>122</v>
      </c>
      <c r="K35">
        <v>210</v>
      </c>
      <c r="L35">
        <v>16</v>
      </c>
      <c r="M35">
        <v>3</v>
      </c>
      <c r="O35">
        <v>2</v>
      </c>
    </row>
    <row r="36" spans="1:15" ht="12.75">
      <c r="A36">
        <v>50</v>
      </c>
      <c r="B36">
        <v>0</v>
      </c>
      <c r="C36">
        <v>0</v>
      </c>
      <c r="D36">
        <v>1</v>
      </c>
      <c r="E36">
        <v>211</v>
      </c>
      <c r="F36">
        <v>4437.15</v>
      </c>
      <c r="G36" t="s">
        <v>123</v>
      </c>
      <c r="H36" t="s">
        <v>124</v>
      </c>
      <c r="K36">
        <v>211</v>
      </c>
      <c r="L36">
        <v>17</v>
      </c>
      <c r="M36">
        <v>3</v>
      </c>
      <c r="O36">
        <v>2</v>
      </c>
    </row>
    <row r="37" spans="1:15" ht="12.75">
      <c r="A37">
        <v>50</v>
      </c>
      <c r="B37">
        <v>0</v>
      </c>
      <c r="C37">
        <v>0</v>
      </c>
      <c r="D37">
        <v>1</v>
      </c>
      <c r="E37">
        <v>224</v>
      </c>
      <c r="F37">
        <v>41840.96</v>
      </c>
      <c r="G37" t="s">
        <v>125</v>
      </c>
      <c r="H37" t="s">
        <v>126</v>
      </c>
      <c r="K37">
        <v>224</v>
      </c>
      <c r="L37">
        <v>18</v>
      </c>
      <c r="M37">
        <v>3</v>
      </c>
      <c r="O37">
        <v>2</v>
      </c>
    </row>
    <row r="39" ht="12.75">
      <c r="A39">
        <v>-1</v>
      </c>
    </row>
    <row r="42" spans="1:15" ht="12.75">
      <c r="A42">
        <v>75</v>
      </c>
      <c r="B42" t="s">
        <v>133</v>
      </c>
      <c r="C42">
        <v>2000</v>
      </c>
      <c r="D42">
        <v>0</v>
      </c>
      <c r="E42">
        <v>1</v>
      </c>
      <c r="F42">
        <v>1</v>
      </c>
      <c r="G42">
        <v>0</v>
      </c>
      <c r="H42">
        <v>2</v>
      </c>
      <c r="I42">
        <v>1</v>
      </c>
      <c r="J42">
        <v>1</v>
      </c>
      <c r="K42">
        <v>94</v>
      </c>
      <c r="L42">
        <v>86</v>
      </c>
      <c r="M42">
        <v>0</v>
      </c>
      <c r="N42">
        <v>22535680</v>
      </c>
      <c r="O42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22535680</v>
      </c>
      <c r="C1">
        <v>22535721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135</v>
      </c>
      <c r="K1" t="s">
        <v>136</v>
      </c>
      <c r="L1">
        <v>1191</v>
      </c>
      <c r="N1">
        <v>1013</v>
      </c>
      <c r="O1" t="s">
        <v>137</v>
      </c>
      <c r="P1" t="s">
        <v>137</v>
      </c>
      <c r="Q1">
        <v>1</v>
      </c>
      <c r="Y1">
        <v>182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182</v>
      </c>
      <c r="AV1">
        <v>1</v>
      </c>
      <c r="AW1">
        <v>2</v>
      </c>
      <c r="AX1">
        <v>22535738</v>
      </c>
      <c r="AY1">
        <v>2</v>
      </c>
      <c r="AZ1">
        <v>4096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ROW(Source!A24)</f>
        <v>24</v>
      </c>
      <c r="B2">
        <v>22535680</v>
      </c>
      <c r="C2">
        <v>22535721</v>
      </c>
      <c r="D2">
        <v>3970501</v>
      </c>
      <c r="E2">
        <v>3</v>
      </c>
      <c r="F2">
        <v>1</v>
      </c>
      <c r="G2">
        <v>7157832</v>
      </c>
      <c r="H2">
        <v>2</v>
      </c>
      <c r="I2" t="s">
        <v>138</v>
      </c>
      <c r="J2" t="s">
        <v>139</v>
      </c>
      <c r="K2" t="s">
        <v>140</v>
      </c>
      <c r="L2">
        <v>1344</v>
      </c>
      <c r="N2">
        <v>1008</v>
      </c>
      <c r="O2" t="s">
        <v>141</v>
      </c>
      <c r="P2" t="s">
        <v>141</v>
      </c>
      <c r="Q2">
        <v>1</v>
      </c>
      <c r="Y2">
        <v>585.76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585.76</v>
      </c>
      <c r="AV2">
        <v>0</v>
      </c>
      <c r="AW2">
        <v>2</v>
      </c>
      <c r="AX2">
        <v>22535739</v>
      </c>
      <c r="AY2">
        <v>2</v>
      </c>
      <c r="AZ2">
        <v>77824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ROW(Source!A24)</f>
        <v>24</v>
      </c>
      <c r="B3">
        <v>22535680</v>
      </c>
      <c r="C3">
        <v>22535721</v>
      </c>
      <c r="D3">
        <v>4012592</v>
      </c>
      <c r="E3">
        <v>3</v>
      </c>
      <c r="F3">
        <v>1</v>
      </c>
      <c r="G3">
        <v>7157832</v>
      </c>
      <c r="H3">
        <v>3</v>
      </c>
      <c r="I3" t="s">
        <v>142</v>
      </c>
      <c r="J3" t="s">
        <v>143</v>
      </c>
      <c r="K3" t="s">
        <v>144</v>
      </c>
      <c r="L3">
        <v>1344</v>
      </c>
      <c r="N3">
        <v>1008</v>
      </c>
      <c r="O3" t="s">
        <v>141</v>
      </c>
      <c r="P3" t="s">
        <v>141</v>
      </c>
      <c r="Q3">
        <v>1</v>
      </c>
      <c r="Y3">
        <v>30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30</v>
      </c>
      <c r="AV3">
        <v>0</v>
      </c>
      <c r="AW3">
        <v>2</v>
      </c>
      <c r="AX3">
        <v>22535743</v>
      </c>
      <c r="AY3">
        <v>2</v>
      </c>
      <c r="AZ3">
        <v>32768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ROW(Source!A24)</f>
        <v>24</v>
      </c>
      <c r="B4">
        <v>22535680</v>
      </c>
      <c r="C4">
        <v>22535721</v>
      </c>
      <c r="D4">
        <v>7232748</v>
      </c>
      <c r="E4">
        <v>1</v>
      </c>
      <c r="F4">
        <v>1</v>
      </c>
      <c r="G4">
        <v>7157832</v>
      </c>
      <c r="H4">
        <v>3</v>
      </c>
      <c r="I4" t="s">
        <v>25</v>
      </c>
      <c r="J4" t="s">
        <v>28</v>
      </c>
      <c r="K4" t="s">
        <v>26</v>
      </c>
      <c r="L4">
        <v>1348</v>
      </c>
      <c r="N4">
        <v>1009</v>
      </c>
      <c r="O4" t="s">
        <v>27</v>
      </c>
      <c r="P4" t="s">
        <v>27</v>
      </c>
      <c r="Q4">
        <v>1000</v>
      </c>
      <c r="Y4">
        <v>0.57</v>
      </c>
      <c r="AA4">
        <v>15328.48</v>
      </c>
      <c r="AB4">
        <v>0</v>
      </c>
      <c r="AC4">
        <v>0</v>
      </c>
      <c r="AD4">
        <v>0</v>
      </c>
      <c r="AN4">
        <v>0</v>
      </c>
      <c r="AO4">
        <v>0</v>
      </c>
      <c r="AP4">
        <v>0</v>
      </c>
      <c r="AQ4">
        <v>0</v>
      </c>
      <c r="AR4">
        <v>0</v>
      </c>
      <c r="AT4">
        <v>0.57</v>
      </c>
      <c r="AV4">
        <v>0</v>
      </c>
      <c r="AW4">
        <v>1</v>
      </c>
      <c r="AX4">
        <v>-1</v>
      </c>
      <c r="AY4">
        <v>0</v>
      </c>
      <c r="AZ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ROW(Source!A24)</f>
        <v>24</v>
      </c>
      <c r="B5">
        <v>22535680</v>
      </c>
      <c r="C5">
        <v>22535721</v>
      </c>
      <c r="D5">
        <v>7231840</v>
      </c>
      <c r="E5">
        <v>7157832</v>
      </c>
      <c r="F5">
        <v>1</v>
      </c>
      <c r="G5">
        <v>7157832</v>
      </c>
      <c r="H5">
        <v>3</v>
      </c>
      <c r="I5" t="s">
        <v>145</v>
      </c>
      <c r="J5" t="s">
        <v>146</v>
      </c>
      <c r="K5" t="s">
        <v>147</v>
      </c>
      <c r="L5">
        <v>1348</v>
      </c>
      <c r="N5">
        <v>1009</v>
      </c>
      <c r="O5" t="s">
        <v>27</v>
      </c>
      <c r="P5" t="s">
        <v>27</v>
      </c>
      <c r="Q5">
        <v>1000</v>
      </c>
      <c r="Y5">
        <v>0.011</v>
      </c>
      <c r="AA5">
        <v>62915.22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0.011</v>
      </c>
      <c r="AV5">
        <v>0</v>
      </c>
      <c r="AW5">
        <v>2</v>
      </c>
      <c r="AX5">
        <v>22535740</v>
      </c>
      <c r="AY5">
        <v>1</v>
      </c>
      <c r="AZ5">
        <v>0</v>
      </c>
      <c r="BA5">
        <v>4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ROW(Source!A24)</f>
        <v>24</v>
      </c>
      <c r="B6">
        <v>22535680</v>
      </c>
      <c r="C6">
        <v>22535721</v>
      </c>
      <c r="D6">
        <v>3974989</v>
      </c>
      <c r="E6">
        <v>3</v>
      </c>
      <c r="F6">
        <v>1</v>
      </c>
      <c r="G6">
        <v>7157832</v>
      </c>
      <c r="H6">
        <v>3</v>
      </c>
      <c r="I6" t="s">
        <v>148</v>
      </c>
      <c r="K6" t="s">
        <v>149</v>
      </c>
      <c r="L6">
        <v>1348</v>
      </c>
      <c r="N6">
        <v>1009</v>
      </c>
      <c r="O6" t="s">
        <v>27</v>
      </c>
      <c r="P6" t="s">
        <v>27</v>
      </c>
      <c r="Q6">
        <v>1000</v>
      </c>
      <c r="Y6">
        <v>1.053</v>
      </c>
      <c r="AA6">
        <v>0</v>
      </c>
      <c r="AB6">
        <v>0</v>
      </c>
      <c r="AC6">
        <v>0</v>
      </c>
      <c r="AD6">
        <v>0</v>
      </c>
      <c r="AN6">
        <v>0</v>
      </c>
      <c r="AO6">
        <v>0</v>
      </c>
      <c r="AP6">
        <v>0</v>
      </c>
      <c r="AQ6">
        <v>0</v>
      </c>
      <c r="AR6">
        <v>0</v>
      </c>
      <c r="AT6">
        <v>1.053</v>
      </c>
      <c r="AV6">
        <v>0</v>
      </c>
      <c r="AW6">
        <v>2</v>
      </c>
      <c r="AX6">
        <v>22535741</v>
      </c>
      <c r="AY6">
        <v>1</v>
      </c>
      <c r="AZ6">
        <v>0</v>
      </c>
      <c r="BA6">
        <v>5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ROW(Source!A24)</f>
        <v>24</v>
      </c>
      <c r="B7">
        <v>22535680</v>
      </c>
      <c r="C7">
        <v>22535721</v>
      </c>
      <c r="D7">
        <v>3974991</v>
      </c>
      <c r="E7">
        <v>3</v>
      </c>
      <c r="F7">
        <v>1</v>
      </c>
      <c r="G7">
        <v>7157832</v>
      </c>
      <c r="H7">
        <v>3</v>
      </c>
      <c r="I7" t="s">
        <v>148</v>
      </c>
      <c r="K7" t="s">
        <v>150</v>
      </c>
      <c r="L7">
        <v>1348</v>
      </c>
      <c r="N7">
        <v>1009</v>
      </c>
      <c r="O7" t="s">
        <v>27</v>
      </c>
      <c r="P7" t="s">
        <v>27</v>
      </c>
      <c r="Q7">
        <v>1000</v>
      </c>
      <c r="Y7">
        <v>0.226</v>
      </c>
      <c r="AA7">
        <v>0</v>
      </c>
      <c r="AB7">
        <v>0</v>
      </c>
      <c r="AC7">
        <v>0</v>
      </c>
      <c r="AD7">
        <v>0</v>
      </c>
      <c r="AN7">
        <v>0</v>
      </c>
      <c r="AO7">
        <v>0</v>
      </c>
      <c r="AP7">
        <v>0</v>
      </c>
      <c r="AQ7">
        <v>0</v>
      </c>
      <c r="AR7">
        <v>0</v>
      </c>
      <c r="AT7">
        <v>0.226</v>
      </c>
      <c r="AV7">
        <v>0</v>
      </c>
      <c r="AW7">
        <v>2</v>
      </c>
      <c r="AX7">
        <v>22535742</v>
      </c>
      <c r="AY7">
        <v>1</v>
      </c>
      <c r="AZ7">
        <v>0</v>
      </c>
      <c r="BA7">
        <v>6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ROW(Source!A26)</f>
        <v>26</v>
      </c>
      <c r="B8">
        <v>22535680</v>
      </c>
      <c r="C8">
        <v>22535745</v>
      </c>
      <c r="D8">
        <v>7157835</v>
      </c>
      <c r="E8">
        <v>7157832</v>
      </c>
      <c r="F8">
        <v>1</v>
      </c>
      <c r="G8">
        <v>7157832</v>
      </c>
      <c r="H8">
        <v>1</v>
      </c>
      <c r="I8" t="s">
        <v>135</v>
      </c>
      <c r="K8" t="s">
        <v>136</v>
      </c>
      <c r="L8">
        <v>1191</v>
      </c>
      <c r="N8">
        <v>1013</v>
      </c>
      <c r="O8" t="s">
        <v>137</v>
      </c>
      <c r="P8" t="s">
        <v>137</v>
      </c>
      <c r="Q8">
        <v>1</v>
      </c>
      <c r="Y8">
        <v>5.9</v>
      </c>
      <c r="AA8">
        <v>0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5.9</v>
      </c>
      <c r="AV8">
        <v>1</v>
      </c>
      <c r="AW8">
        <v>2</v>
      </c>
      <c r="AX8">
        <v>22535765</v>
      </c>
      <c r="AY8">
        <v>2</v>
      </c>
      <c r="AZ8">
        <v>4096</v>
      </c>
      <c r="BA8">
        <v>7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ROW(Source!A26)</f>
        <v>26</v>
      </c>
      <c r="B9">
        <v>22535680</v>
      </c>
      <c r="C9">
        <v>22535745</v>
      </c>
      <c r="D9">
        <v>7231214</v>
      </c>
      <c r="E9">
        <v>7157832</v>
      </c>
      <c r="F9">
        <v>1</v>
      </c>
      <c r="G9">
        <v>7157832</v>
      </c>
      <c r="H9">
        <v>2</v>
      </c>
      <c r="I9" t="s">
        <v>151</v>
      </c>
      <c r="J9" t="s">
        <v>152</v>
      </c>
      <c r="K9" t="s">
        <v>153</v>
      </c>
      <c r="L9">
        <v>1368</v>
      </c>
      <c r="N9">
        <v>1011</v>
      </c>
      <c r="O9" t="s">
        <v>154</v>
      </c>
      <c r="P9" t="s">
        <v>154</v>
      </c>
      <c r="Q9">
        <v>1</v>
      </c>
      <c r="Y9">
        <v>1.59</v>
      </c>
      <c r="AA9">
        <v>0</v>
      </c>
      <c r="AB9">
        <v>6.22</v>
      </c>
      <c r="AC9">
        <v>0.29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1.59</v>
      </c>
      <c r="AV9">
        <v>0</v>
      </c>
      <c r="AW9">
        <v>2</v>
      </c>
      <c r="AX9">
        <v>22535766</v>
      </c>
      <c r="AY9">
        <v>2</v>
      </c>
      <c r="AZ9">
        <v>4096</v>
      </c>
      <c r="BA9">
        <v>8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ROW(Source!A26)</f>
        <v>26</v>
      </c>
      <c r="B10">
        <v>22535680</v>
      </c>
      <c r="C10">
        <v>22535745</v>
      </c>
      <c r="D10">
        <v>7231421</v>
      </c>
      <c r="E10">
        <v>7157832</v>
      </c>
      <c r="F10">
        <v>1</v>
      </c>
      <c r="G10">
        <v>7157832</v>
      </c>
      <c r="H10">
        <v>2</v>
      </c>
      <c r="I10" t="s">
        <v>155</v>
      </c>
      <c r="J10" t="s">
        <v>156</v>
      </c>
      <c r="K10" t="s">
        <v>157</v>
      </c>
      <c r="L10">
        <v>1368</v>
      </c>
      <c r="N10">
        <v>1011</v>
      </c>
      <c r="O10" t="s">
        <v>154</v>
      </c>
      <c r="P10" t="s">
        <v>154</v>
      </c>
      <c r="Q10">
        <v>1</v>
      </c>
      <c r="Y10">
        <v>0.13</v>
      </c>
      <c r="AA10">
        <v>0</v>
      </c>
      <c r="AB10">
        <v>74.44</v>
      </c>
      <c r="AC10">
        <v>17.59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0.13</v>
      </c>
      <c r="AV10">
        <v>0</v>
      </c>
      <c r="AW10">
        <v>2</v>
      </c>
      <c r="AX10">
        <v>22535767</v>
      </c>
      <c r="AY10">
        <v>2</v>
      </c>
      <c r="AZ10">
        <v>4096</v>
      </c>
      <c r="BA10">
        <v>9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ROW(Source!A26)</f>
        <v>26</v>
      </c>
      <c r="B11">
        <v>22535680</v>
      </c>
      <c r="C11">
        <v>22535745</v>
      </c>
      <c r="D11">
        <v>7230780</v>
      </c>
      <c r="E11">
        <v>7157832</v>
      </c>
      <c r="F11">
        <v>1</v>
      </c>
      <c r="G11">
        <v>7157832</v>
      </c>
      <c r="H11">
        <v>2</v>
      </c>
      <c r="I11" t="s">
        <v>158</v>
      </c>
      <c r="J11" t="s">
        <v>159</v>
      </c>
      <c r="K11" t="s">
        <v>160</v>
      </c>
      <c r="L11">
        <v>1368</v>
      </c>
      <c r="N11">
        <v>1011</v>
      </c>
      <c r="O11" t="s">
        <v>154</v>
      </c>
      <c r="P11" t="s">
        <v>154</v>
      </c>
      <c r="Q11">
        <v>1</v>
      </c>
      <c r="Y11">
        <v>0.15</v>
      </c>
      <c r="AA11">
        <v>0</v>
      </c>
      <c r="AB11">
        <v>84.07</v>
      </c>
      <c r="AC11">
        <v>21.51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0.15</v>
      </c>
      <c r="AV11">
        <v>0</v>
      </c>
      <c r="AW11">
        <v>1</v>
      </c>
      <c r="AX11">
        <v>-1</v>
      </c>
      <c r="AY11">
        <v>0</v>
      </c>
      <c r="AZ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ROW(Source!A26)</f>
        <v>26</v>
      </c>
      <c r="B12">
        <v>22535680</v>
      </c>
      <c r="C12">
        <v>22535745</v>
      </c>
      <c r="D12">
        <v>7230811</v>
      </c>
      <c r="E12">
        <v>7157832</v>
      </c>
      <c r="F12">
        <v>1</v>
      </c>
      <c r="G12">
        <v>7157832</v>
      </c>
      <c r="H12">
        <v>2</v>
      </c>
      <c r="I12" t="s">
        <v>161</v>
      </c>
      <c r="J12" t="s">
        <v>162</v>
      </c>
      <c r="K12" t="s">
        <v>163</v>
      </c>
      <c r="L12">
        <v>1368</v>
      </c>
      <c r="N12">
        <v>1011</v>
      </c>
      <c r="O12" t="s">
        <v>154</v>
      </c>
      <c r="P12" t="s">
        <v>154</v>
      </c>
      <c r="Q12">
        <v>1</v>
      </c>
      <c r="Y12">
        <v>0.1</v>
      </c>
      <c r="AA12">
        <v>0</v>
      </c>
      <c r="AB12">
        <v>102.11</v>
      </c>
      <c r="AC12">
        <v>30.03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0.1</v>
      </c>
      <c r="AV12">
        <v>0</v>
      </c>
      <c r="AW12">
        <v>2</v>
      </c>
      <c r="AX12">
        <v>22535768</v>
      </c>
      <c r="AY12">
        <v>2</v>
      </c>
      <c r="AZ12">
        <v>4096</v>
      </c>
      <c r="BA12">
        <v>10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ROW(Source!A26)</f>
        <v>26</v>
      </c>
      <c r="B13">
        <v>22535680</v>
      </c>
      <c r="C13">
        <v>22535745</v>
      </c>
      <c r="D13">
        <v>7232679</v>
      </c>
      <c r="E13">
        <v>7157832</v>
      </c>
      <c r="F13">
        <v>1</v>
      </c>
      <c r="G13">
        <v>7157832</v>
      </c>
      <c r="H13">
        <v>3</v>
      </c>
      <c r="I13" t="s">
        <v>164</v>
      </c>
      <c r="J13" t="s">
        <v>165</v>
      </c>
      <c r="K13" t="s">
        <v>166</v>
      </c>
      <c r="L13">
        <v>1348</v>
      </c>
      <c r="N13">
        <v>1009</v>
      </c>
      <c r="O13" t="s">
        <v>27</v>
      </c>
      <c r="P13" t="s">
        <v>27</v>
      </c>
      <c r="Q13">
        <v>1000</v>
      </c>
      <c r="Y13">
        <v>0.00052</v>
      </c>
      <c r="AA13">
        <v>23120.53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0.00052</v>
      </c>
      <c r="AV13">
        <v>0</v>
      </c>
      <c r="AW13">
        <v>2</v>
      </c>
      <c r="AX13">
        <v>22535769</v>
      </c>
      <c r="AY13">
        <v>1</v>
      </c>
      <c r="AZ13">
        <v>0</v>
      </c>
      <c r="BA13">
        <v>11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ROW(Source!A26)</f>
        <v>26</v>
      </c>
      <c r="B14">
        <v>22535680</v>
      </c>
      <c r="C14">
        <v>22535745</v>
      </c>
      <c r="D14">
        <v>7233230</v>
      </c>
      <c r="E14">
        <v>7157832</v>
      </c>
      <c r="F14">
        <v>1</v>
      </c>
      <c r="G14">
        <v>7157832</v>
      </c>
      <c r="H14">
        <v>3</v>
      </c>
      <c r="I14" t="s">
        <v>167</v>
      </c>
      <c r="J14" t="s">
        <v>168</v>
      </c>
      <c r="K14" t="s">
        <v>169</v>
      </c>
      <c r="L14">
        <v>1348</v>
      </c>
      <c r="N14">
        <v>1009</v>
      </c>
      <c r="O14" t="s">
        <v>27</v>
      </c>
      <c r="P14" t="s">
        <v>27</v>
      </c>
      <c r="Q14">
        <v>1000</v>
      </c>
      <c r="Y14">
        <v>0.0005</v>
      </c>
      <c r="AA14">
        <v>7191.81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0.0005</v>
      </c>
      <c r="AV14">
        <v>0</v>
      </c>
      <c r="AW14">
        <v>2</v>
      </c>
      <c r="AX14">
        <v>22535770</v>
      </c>
      <c r="AY14">
        <v>1</v>
      </c>
      <c r="AZ14">
        <v>0</v>
      </c>
      <c r="BA14">
        <v>12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ROW(Source!A26)</f>
        <v>26</v>
      </c>
      <c r="B15">
        <v>22535680</v>
      </c>
      <c r="C15">
        <v>22535745</v>
      </c>
      <c r="D15">
        <v>7237672</v>
      </c>
      <c r="E15">
        <v>1</v>
      </c>
      <c r="F15">
        <v>1</v>
      </c>
      <c r="G15">
        <v>7157832</v>
      </c>
      <c r="H15">
        <v>3</v>
      </c>
      <c r="I15" t="s">
        <v>35</v>
      </c>
      <c r="J15" t="s">
        <v>37</v>
      </c>
      <c r="K15" t="s">
        <v>36</v>
      </c>
      <c r="L15">
        <v>1348</v>
      </c>
      <c r="N15">
        <v>1009</v>
      </c>
      <c r="O15" t="s">
        <v>27</v>
      </c>
      <c r="P15" t="s">
        <v>27</v>
      </c>
      <c r="Q15">
        <v>1000</v>
      </c>
      <c r="Y15">
        <v>0.3</v>
      </c>
      <c r="AA15">
        <v>14881.46</v>
      </c>
      <c r="AB15">
        <v>0</v>
      </c>
      <c r="AC15">
        <v>0</v>
      </c>
      <c r="AD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0.3</v>
      </c>
      <c r="AV15">
        <v>0</v>
      </c>
      <c r="AW15">
        <v>1</v>
      </c>
      <c r="AX15">
        <v>-1</v>
      </c>
      <c r="AY15">
        <v>0</v>
      </c>
      <c r="AZ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ROW(Source!A28)</f>
        <v>28</v>
      </c>
      <c r="B16">
        <v>22535680</v>
      </c>
      <c r="C16">
        <v>22535773</v>
      </c>
      <c r="D16">
        <v>7157835</v>
      </c>
      <c r="E16">
        <v>7157832</v>
      </c>
      <c r="F16">
        <v>1</v>
      </c>
      <c r="G16">
        <v>7157832</v>
      </c>
      <c r="H16">
        <v>1</v>
      </c>
      <c r="I16" t="s">
        <v>135</v>
      </c>
      <c r="K16" t="s">
        <v>136</v>
      </c>
      <c r="L16">
        <v>1191</v>
      </c>
      <c r="N16">
        <v>1013</v>
      </c>
      <c r="O16" t="s">
        <v>137</v>
      </c>
      <c r="P16" t="s">
        <v>137</v>
      </c>
      <c r="Q16">
        <v>1</v>
      </c>
      <c r="Y16">
        <v>11.04</v>
      </c>
      <c r="AA16">
        <v>0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11.04</v>
      </c>
      <c r="AV16">
        <v>1</v>
      </c>
      <c r="AW16">
        <v>2</v>
      </c>
      <c r="AX16">
        <v>22535780</v>
      </c>
      <c r="AY16">
        <v>2</v>
      </c>
      <c r="AZ16">
        <v>4096</v>
      </c>
      <c r="BA16">
        <v>14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ROW(Source!A28)</f>
        <v>28</v>
      </c>
      <c r="B17">
        <v>22535680</v>
      </c>
      <c r="C17">
        <v>22535773</v>
      </c>
      <c r="D17">
        <v>3970501</v>
      </c>
      <c r="E17">
        <v>3</v>
      </c>
      <c r="F17">
        <v>1</v>
      </c>
      <c r="G17">
        <v>7157832</v>
      </c>
      <c r="H17">
        <v>2</v>
      </c>
      <c r="I17" t="s">
        <v>138</v>
      </c>
      <c r="J17" t="s">
        <v>139</v>
      </c>
      <c r="K17" t="s">
        <v>140</v>
      </c>
      <c r="L17">
        <v>1344</v>
      </c>
      <c r="N17">
        <v>1008</v>
      </c>
      <c r="O17" t="s">
        <v>141</v>
      </c>
      <c r="P17" t="s">
        <v>141</v>
      </c>
      <c r="Q17">
        <v>1</v>
      </c>
      <c r="Y17">
        <v>1.89</v>
      </c>
      <c r="AA17">
        <v>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1.89</v>
      </c>
      <c r="AV17">
        <v>0</v>
      </c>
      <c r="AW17">
        <v>1</v>
      </c>
      <c r="AX17">
        <v>-1</v>
      </c>
      <c r="AY17">
        <v>0</v>
      </c>
      <c r="AZ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ROW(Source!A28)</f>
        <v>28</v>
      </c>
      <c r="B18">
        <v>22535680</v>
      </c>
      <c r="C18">
        <v>22535773</v>
      </c>
      <c r="D18">
        <v>4012582</v>
      </c>
      <c r="E18">
        <v>3</v>
      </c>
      <c r="F18">
        <v>1</v>
      </c>
      <c r="G18">
        <v>7157832</v>
      </c>
      <c r="H18">
        <v>3</v>
      </c>
      <c r="I18" t="s">
        <v>142</v>
      </c>
      <c r="J18" t="s">
        <v>170</v>
      </c>
      <c r="K18" t="s">
        <v>171</v>
      </c>
      <c r="L18">
        <v>1348</v>
      </c>
      <c r="N18">
        <v>1009</v>
      </c>
      <c r="O18" t="s">
        <v>27</v>
      </c>
      <c r="P18" t="s">
        <v>27</v>
      </c>
      <c r="Q18">
        <v>1000</v>
      </c>
      <c r="Y18">
        <v>0.325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0.325</v>
      </c>
      <c r="AV18">
        <v>0</v>
      </c>
      <c r="AW18">
        <v>2</v>
      </c>
      <c r="AX18">
        <v>22535781</v>
      </c>
      <c r="AY18">
        <v>1</v>
      </c>
      <c r="AZ18">
        <v>0</v>
      </c>
      <c r="BA18">
        <v>15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ROW(Source!A29)</f>
        <v>29</v>
      </c>
      <c r="B19">
        <v>22535680</v>
      </c>
      <c r="C19">
        <v>22535782</v>
      </c>
      <c r="D19">
        <v>7157835</v>
      </c>
      <c r="E19">
        <v>7157832</v>
      </c>
      <c r="F19">
        <v>1</v>
      </c>
      <c r="G19">
        <v>7157832</v>
      </c>
      <c r="H19">
        <v>1</v>
      </c>
      <c r="I19" t="s">
        <v>135</v>
      </c>
      <c r="K19" t="s">
        <v>136</v>
      </c>
      <c r="L19">
        <v>1191</v>
      </c>
      <c r="N19">
        <v>1013</v>
      </c>
      <c r="O19" t="s">
        <v>137</v>
      </c>
      <c r="P19" t="s">
        <v>137</v>
      </c>
      <c r="Q19">
        <v>1</v>
      </c>
      <c r="Y19">
        <v>35.04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35.04</v>
      </c>
      <c r="AV19">
        <v>1</v>
      </c>
      <c r="AW19">
        <v>2</v>
      </c>
      <c r="AX19">
        <v>22535793</v>
      </c>
      <c r="AY19">
        <v>2</v>
      </c>
      <c r="AZ19">
        <v>4096</v>
      </c>
      <c r="BA19">
        <v>16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ROW(Source!A29)</f>
        <v>29</v>
      </c>
      <c r="B20">
        <v>22535680</v>
      </c>
      <c r="C20">
        <v>22535782</v>
      </c>
      <c r="D20">
        <v>3970501</v>
      </c>
      <c r="E20">
        <v>3</v>
      </c>
      <c r="F20">
        <v>1</v>
      </c>
      <c r="G20">
        <v>7157832</v>
      </c>
      <c r="H20">
        <v>2</v>
      </c>
      <c r="I20" t="s">
        <v>138</v>
      </c>
      <c r="J20" t="s">
        <v>139</v>
      </c>
      <c r="K20" t="s">
        <v>140</v>
      </c>
      <c r="L20">
        <v>1344</v>
      </c>
      <c r="N20">
        <v>1008</v>
      </c>
      <c r="O20" t="s">
        <v>141</v>
      </c>
      <c r="P20" t="s">
        <v>141</v>
      </c>
      <c r="Q20">
        <v>1</v>
      </c>
      <c r="Y20">
        <v>1.36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1.36</v>
      </c>
      <c r="AV20">
        <v>0</v>
      </c>
      <c r="AW20">
        <v>2</v>
      </c>
      <c r="AX20">
        <v>22535794</v>
      </c>
      <c r="AY20">
        <v>2</v>
      </c>
      <c r="AZ20">
        <v>77824</v>
      </c>
      <c r="BA20">
        <v>17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ROW(Source!A29)</f>
        <v>29</v>
      </c>
      <c r="B21">
        <v>22535680</v>
      </c>
      <c r="C21">
        <v>22535782</v>
      </c>
      <c r="D21">
        <v>7232755</v>
      </c>
      <c r="E21">
        <v>1</v>
      </c>
      <c r="F21">
        <v>1</v>
      </c>
      <c r="G21">
        <v>7157832</v>
      </c>
      <c r="H21">
        <v>3</v>
      </c>
      <c r="I21" t="s">
        <v>52</v>
      </c>
      <c r="J21" t="s">
        <v>54</v>
      </c>
      <c r="K21" t="s">
        <v>53</v>
      </c>
      <c r="L21">
        <v>1348</v>
      </c>
      <c r="N21">
        <v>1009</v>
      </c>
      <c r="O21" t="s">
        <v>27</v>
      </c>
      <c r="P21" t="s">
        <v>27</v>
      </c>
      <c r="Q21">
        <v>1000</v>
      </c>
      <c r="Y21">
        <v>0.254</v>
      </c>
      <c r="AA21">
        <v>14739.12</v>
      </c>
      <c r="AB21">
        <v>0</v>
      </c>
      <c r="AC21">
        <v>0</v>
      </c>
      <c r="AD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T21">
        <v>0.254</v>
      </c>
      <c r="AV21">
        <v>0</v>
      </c>
      <c r="AW21">
        <v>1</v>
      </c>
      <c r="AX21">
        <v>-1</v>
      </c>
      <c r="AY21">
        <v>0</v>
      </c>
      <c r="AZ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ROW(Source!A29)</f>
        <v>29</v>
      </c>
      <c r="B22">
        <v>22535680</v>
      </c>
      <c r="C22">
        <v>22535782</v>
      </c>
      <c r="D22">
        <v>7232605</v>
      </c>
      <c r="E22">
        <v>7157832</v>
      </c>
      <c r="F22">
        <v>1</v>
      </c>
      <c r="G22">
        <v>7157832</v>
      </c>
      <c r="H22">
        <v>3</v>
      </c>
      <c r="I22" t="s">
        <v>172</v>
      </c>
      <c r="J22" t="s">
        <v>173</v>
      </c>
      <c r="K22" t="s">
        <v>174</v>
      </c>
      <c r="L22">
        <v>1348</v>
      </c>
      <c r="N22">
        <v>1009</v>
      </c>
      <c r="O22" t="s">
        <v>27</v>
      </c>
      <c r="P22" t="s">
        <v>27</v>
      </c>
      <c r="Q22">
        <v>1000</v>
      </c>
      <c r="Y22">
        <v>0.095</v>
      </c>
      <c r="AA22">
        <v>6870.66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0.095</v>
      </c>
      <c r="AV22">
        <v>0</v>
      </c>
      <c r="AW22">
        <v>2</v>
      </c>
      <c r="AX22">
        <v>22535795</v>
      </c>
      <c r="AY22">
        <v>1</v>
      </c>
      <c r="AZ22">
        <v>0</v>
      </c>
      <c r="BA22">
        <v>18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ROW(Source!A29)</f>
        <v>29</v>
      </c>
      <c r="B23">
        <v>22535680</v>
      </c>
      <c r="C23">
        <v>22535782</v>
      </c>
      <c r="D23">
        <v>3998219</v>
      </c>
      <c r="E23">
        <v>3</v>
      </c>
      <c r="F23">
        <v>1</v>
      </c>
      <c r="G23">
        <v>7157832</v>
      </c>
      <c r="H23">
        <v>3</v>
      </c>
      <c r="I23" t="s">
        <v>175</v>
      </c>
      <c r="K23" t="s">
        <v>176</v>
      </c>
      <c r="L23">
        <v>1348</v>
      </c>
      <c r="N23">
        <v>1009</v>
      </c>
      <c r="O23" t="s">
        <v>27</v>
      </c>
      <c r="P23" t="s">
        <v>27</v>
      </c>
      <c r="Q23">
        <v>1000</v>
      </c>
      <c r="Y23">
        <v>0</v>
      </c>
      <c r="AA23">
        <v>0</v>
      </c>
      <c r="AB23">
        <v>0</v>
      </c>
      <c r="AC23">
        <v>0</v>
      </c>
      <c r="AD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T23">
        <v>0</v>
      </c>
      <c r="AV23">
        <v>0</v>
      </c>
      <c r="AW23">
        <v>2</v>
      </c>
      <c r="AX23">
        <v>22535796</v>
      </c>
      <c r="AY23">
        <v>1</v>
      </c>
      <c r="AZ23">
        <v>0</v>
      </c>
      <c r="BA23">
        <v>19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ROW(Source!A31)</f>
        <v>31</v>
      </c>
      <c r="B24">
        <v>22535680</v>
      </c>
      <c r="C24">
        <v>22535798</v>
      </c>
      <c r="D24">
        <v>7157835</v>
      </c>
      <c r="E24">
        <v>7157832</v>
      </c>
      <c r="F24">
        <v>1</v>
      </c>
      <c r="G24">
        <v>7157832</v>
      </c>
      <c r="H24">
        <v>1</v>
      </c>
      <c r="I24" t="s">
        <v>135</v>
      </c>
      <c r="K24" t="s">
        <v>136</v>
      </c>
      <c r="L24">
        <v>1191</v>
      </c>
      <c r="N24">
        <v>1013</v>
      </c>
      <c r="O24" t="s">
        <v>137</v>
      </c>
      <c r="P24" t="s">
        <v>137</v>
      </c>
      <c r="Q24">
        <v>1</v>
      </c>
      <c r="Y24">
        <v>4.51</v>
      </c>
      <c r="AA24">
        <v>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4.51</v>
      </c>
      <c r="AV24">
        <v>1</v>
      </c>
      <c r="AW24">
        <v>2</v>
      </c>
      <c r="AX24">
        <v>22535811</v>
      </c>
      <c r="AY24">
        <v>2</v>
      </c>
      <c r="AZ24">
        <v>4096</v>
      </c>
      <c r="BA24">
        <v>20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ROW(Source!A31)</f>
        <v>31</v>
      </c>
      <c r="B25">
        <v>22535680</v>
      </c>
      <c r="C25">
        <v>22535798</v>
      </c>
      <c r="D25">
        <v>3970501</v>
      </c>
      <c r="E25">
        <v>3</v>
      </c>
      <c r="F25">
        <v>1</v>
      </c>
      <c r="G25">
        <v>7157832</v>
      </c>
      <c r="H25">
        <v>2</v>
      </c>
      <c r="I25" t="s">
        <v>138</v>
      </c>
      <c r="J25" t="s">
        <v>139</v>
      </c>
      <c r="K25" t="s">
        <v>140</v>
      </c>
      <c r="L25">
        <v>1344</v>
      </c>
      <c r="N25">
        <v>1008</v>
      </c>
      <c r="O25" t="s">
        <v>141</v>
      </c>
      <c r="P25" t="s">
        <v>141</v>
      </c>
      <c r="Q25">
        <v>1</v>
      </c>
      <c r="Y25">
        <v>0.01</v>
      </c>
      <c r="AA25">
        <v>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0.01</v>
      </c>
      <c r="AV25">
        <v>0</v>
      </c>
      <c r="AW25">
        <v>2</v>
      </c>
      <c r="AX25">
        <v>22535812</v>
      </c>
      <c r="AY25">
        <v>2</v>
      </c>
      <c r="AZ25">
        <v>77824</v>
      </c>
      <c r="BA25">
        <v>21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ROW(Source!A31)</f>
        <v>31</v>
      </c>
      <c r="B26">
        <v>22535680</v>
      </c>
      <c r="C26">
        <v>22535798</v>
      </c>
      <c r="D26">
        <v>4012582</v>
      </c>
      <c r="E26">
        <v>3</v>
      </c>
      <c r="F26">
        <v>1</v>
      </c>
      <c r="G26">
        <v>7157832</v>
      </c>
      <c r="H26">
        <v>3</v>
      </c>
      <c r="I26" t="s">
        <v>142</v>
      </c>
      <c r="J26" t="s">
        <v>170</v>
      </c>
      <c r="K26" t="s">
        <v>171</v>
      </c>
      <c r="L26">
        <v>1348</v>
      </c>
      <c r="N26">
        <v>1009</v>
      </c>
      <c r="O26" t="s">
        <v>27</v>
      </c>
      <c r="P26" t="s">
        <v>27</v>
      </c>
      <c r="Q26">
        <v>1000</v>
      </c>
      <c r="Y26">
        <v>0.008</v>
      </c>
      <c r="AA26">
        <v>0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0.008</v>
      </c>
      <c r="AV26">
        <v>0</v>
      </c>
      <c r="AW26">
        <v>2</v>
      </c>
      <c r="AX26">
        <v>22535815</v>
      </c>
      <c r="AY26">
        <v>1</v>
      </c>
      <c r="AZ26">
        <v>0</v>
      </c>
      <c r="BA26">
        <v>22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ROW(Source!A31)</f>
        <v>31</v>
      </c>
      <c r="B27">
        <v>22535680</v>
      </c>
      <c r="C27">
        <v>22535798</v>
      </c>
      <c r="D27">
        <v>7232755</v>
      </c>
      <c r="E27">
        <v>1</v>
      </c>
      <c r="F27">
        <v>1</v>
      </c>
      <c r="G27">
        <v>7157832</v>
      </c>
      <c r="H27">
        <v>3</v>
      </c>
      <c r="I27" t="s">
        <v>52</v>
      </c>
      <c r="J27" t="s">
        <v>54</v>
      </c>
      <c r="K27" t="s">
        <v>53</v>
      </c>
      <c r="L27">
        <v>1348</v>
      </c>
      <c r="N27">
        <v>1009</v>
      </c>
      <c r="O27" t="s">
        <v>27</v>
      </c>
      <c r="P27" t="s">
        <v>27</v>
      </c>
      <c r="Q27">
        <v>1000</v>
      </c>
      <c r="Y27">
        <v>0.04</v>
      </c>
      <c r="AA27">
        <v>14739.12</v>
      </c>
      <c r="AB27">
        <v>0</v>
      </c>
      <c r="AC27">
        <v>0</v>
      </c>
      <c r="AD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T27">
        <v>0.04</v>
      </c>
      <c r="AV27">
        <v>0</v>
      </c>
      <c r="AW27">
        <v>1</v>
      </c>
      <c r="AX27">
        <v>-1</v>
      </c>
      <c r="AY27">
        <v>0</v>
      </c>
      <c r="AZ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ROW(Source!A31)</f>
        <v>31</v>
      </c>
      <c r="B28">
        <v>22535680</v>
      </c>
      <c r="C28">
        <v>22535798</v>
      </c>
      <c r="D28">
        <v>7231768</v>
      </c>
      <c r="E28">
        <v>7157832</v>
      </c>
      <c r="F28">
        <v>1</v>
      </c>
      <c r="G28">
        <v>7157832</v>
      </c>
      <c r="H28">
        <v>3</v>
      </c>
      <c r="I28" t="s">
        <v>177</v>
      </c>
      <c r="J28" t="s">
        <v>178</v>
      </c>
      <c r="K28" t="s">
        <v>179</v>
      </c>
      <c r="L28">
        <v>1348</v>
      </c>
      <c r="N28">
        <v>1009</v>
      </c>
      <c r="O28" t="s">
        <v>27</v>
      </c>
      <c r="P28" t="s">
        <v>27</v>
      </c>
      <c r="Q28">
        <v>1000</v>
      </c>
      <c r="Y28">
        <v>0.003</v>
      </c>
      <c r="AA28">
        <v>17876.91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0.003</v>
      </c>
      <c r="AV28">
        <v>0</v>
      </c>
      <c r="AW28">
        <v>2</v>
      </c>
      <c r="AX28">
        <v>22535813</v>
      </c>
      <c r="AY28">
        <v>1</v>
      </c>
      <c r="AZ28">
        <v>0</v>
      </c>
      <c r="BA28">
        <v>23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ROW(Source!A31)</f>
        <v>31</v>
      </c>
      <c r="B29">
        <v>22535680</v>
      </c>
      <c r="C29">
        <v>22535798</v>
      </c>
      <c r="D29">
        <v>3998223</v>
      </c>
      <c r="E29">
        <v>3</v>
      </c>
      <c r="F29">
        <v>1</v>
      </c>
      <c r="G29">
        <v>7157832</v>
      </c>
      <c r="H29">
        <v>3</v>
      </c>
      <c r="I29" t="s">
        <v>175</v>
      </c>
      <c r="K29" t="s">
        <v>180</v>
      </c>
      <c r="L29">
        <v>1354</v>
      </c>
      <c r="N29">
        <v>1010</v>
      </c>
      <c r="O29" t="s">
        <v>181</v>
      </c>
      <c r="P29" t="s">
        <v>181</v>
      </c>
      <c r="Q29">
        <v>1</v>
      </c>
      <c r="Y29">
        <v>10</v>
      </c>
      <c r="AA29">
        <v>0</v>
      </c>
      <c r="AB29">
        <v>0</v>
      </c>
      <c r="AC29">
        <v>0</v>
      </c>
      <c r="AD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T29">
        <v>10</v>
      </c>
      <c r="AV29">
        <v>0</v>
      </c>
      <c r="AW29">
        <v>2</v>
      </c>
      <c r="AX29">
        <v>22535814</v>
      </c>
      <c r="AY29">
        <v>1</v>
      </c>
      <c r="AZ29">
        <v>0</v>
      </c>
      <c r="BA29">
        <v>24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ROW(Source!A33)</f>
        <v>33</v>
      </c>
      <c r="B30">
        <v>22535680</v>
      </c>
      <c r="C30">
        <v>22535817</v>
      </c>
      <c r="D30">
        <v>7157835</v>
      </c>
      <c r="E30">
        <v>7157832</v>
      </c>
      <c r="F30">
        <v>1</v>
      </c>
      <c r="G30">
        <v>7157832</v>
      </c>
      <c r="H30">
        <v>1</v>
      </c>
      <c r="I30" t="s">
        <v>135</v>
      </c>
      <c r="K30" t="s">
        <v>136</v>
      </c>
      <c r="L30">
        <v>1191</v>
      </c>
      <c r="N30">
        <v>1013</v>
      </c>
      <c r="O30" t="s">
        <v>137</v>
      </c>
      <c r="P30" t="s">
        <v>137</v>
      </c>
      <c r="Q30">
        <v>1</v>
      </c>
      <c r="Y30">
        <v>5.36</v>
      </c>
      <c r="AA30">
        <v>0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5.36</v>
      </c>
      <c r="AV30">
        <v>1</v>
      </c>
      <c r="AW30">
        <v>2</v>
      </c>
      <c r="AX30">
        <v>22535830</v>
      </c>
      <c r="AY30">
        <v>2</v>
      </c>
      <c r="AZ30">
        <v>4096</v>
      </c>
      <c r="BA30">
        <v>25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ROW(Source!A33)</f>
        <v>33</v>
      </c>
      <c r="B31">
        <v>22535680</v>
      </c>
      <c r="C31">
        <v>22535817</v>
      </c>
      <c r="D31">
        <v>3970501</v>
      </c>
      <c r="E31">
        <v>3</v>
      </c>
      <c r="F31">
        <v>1</v>
      </c>
      <c r="G31">
        <v>7157832</v>
      </c>
      <c r="H31">
        <v>2</v>
      </c>
      <c r="I31" t="s">
        <v>138</v>
      </c>
      <c r="J31" t="s">
        <v>139</v>
      </c>
      <c r="K31" t="s">
        <v>140</v>
      </c>
      <c r="L31">
        <v>1344</v>
      </c>
      <c r="N31">
        <v>1008</v>
      </c>
      <c r="O31" t="s">
        <v>141</v>
      </c>
      <c r="P31" t="s">
        <v>141</v>
      </c>
      <c r="Q31">
        <v>1</v>
      </c>
      <c r="Y31">
        <v>0.01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0.01</v>
      </c>
      <c r="AV31">
        <v>0</v>
      </c>
      <c r="AW31">
        <v>2</v>
      </c>
      <c r="AX31">
        <v>22535831</v>
      </c>
      <c r="AY31">
        <v>2</v>
      </c>
      <c r="AZ31">
        <v>77824</v>
      </c>
      <c r="BA31">
        <v>26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ROW(Source!A33)</f>
        <v>33</v>
      </c>
      <c r="B32">
        <v>22535680</v>
      </c>
      <c r="C32">
        <v>22535817</v>
      </c>
      <c r="D32">
        <v>4012582</v>
      </c>
      <c r="E32">
        <v>3</v>
      </c>
      <c r="F32">
        <v>1</v>
      </c>
      <c r="G32">
        <v>7157832</v>
      </c>
      <c r="H32">
        <v>3</v>
      </c>
      <c r="I32" t="s">
        <v>142</v>
      </c>
      <c r="J32" t="s">
        <v>170</v>
      </c>
      <c r="K32" t="s">
        <v>171</v>
      </c>
      <c r="L32">
        <v>1348</v>
      </c>
      <c r="N32">
        <v>1009</v>
      </c>
      <c r="O32" t="s">
        <v>27</v>
      </c>
      <c r="P32" t="s">
        <v>27</v>
      </c>
      <c r="Q32">
        <v>1000</v>
      </c>
      <c r="Y32">
        <v>0.008</v>
      </c>
      <c r="AA32">
        <v>0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0.008</v>
      </c>
      <c r="AV32">
        <v>0</v>
      </c>
      <c r="AW32">
        <v>2</v>
      </c>
      <c r="AX32">
        <v>22535834</v>
      </c>
      <c r="AY32">
        <v>1</v>
      </c>
      <c r="AZ32">
        <v>0</v>
      </c>
      <c r="BA32">
        <v>27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ROW(Source!A33)</f>
        <v>33</v>
      </c>
      <c r="B33">
        <v>22535680</v>
      </c>
      <c r="C33">
        <v>22535817</v>
      </c>
      <c r="D33">
        <v>7232755</v>
      </c>
      <c r="E33">
        <v>1</v>
      </c>
      <c r="F33">
        <v>1</v>
      </c>
      <c r="G33">
        <v>7157832</v>
      </c>
      <c r="H33">
        <v>3</v>
      </c>
      <c r="I33" t="s">
        <v>52</v>
      </c>
      <c r="J33" t="s">
        <v>54</v>
      </c>
      <c r="K33" t="s">
        <v>53</v>
      </c>
      <c r="L33">
        <v>1348</v>
      </c>
      <c r="N33">
        <v>1009</v>
      </c>
      <c r="O33" t="s">
        <v>27</v>
      </c>
      <c r="P33" t="s">
        <v>27</v>
      </c>
      <c r="Q33">
        <v>1000</v>
      </c>
      <c r="Y33">
        <v>0.03</v>
      </c>
      <c r="AA33">
        <v>14739.12</v>
      </c>
      <c r="AB33">
        <v>0</v>
      </c>
      <c r="AC33">
        <v>0</v>
      </c>
      <c r="AD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T33">
        <v>0.03</v>
      </c>
      <c r="AV33">
        <v>0</v>
      </c>
      <c r="AW33">
        <v>1</v>
      </c>
      <c r="AX33">
        <v>-1</v>
      </c>
      <c r="AY33">
        <v>0</v>
      </c>
      <c r="AZ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ROW(Source!A33)</f>
        <v>33</v>
      </c>
      <c r="B34">
        <v>22535680</v>
      </c>
      <c r="C34">
        <v>22535817</v>
      </c>
      <c r="D34">
        <v>7231768</v>
      </c>
      <c r="E34">
        <v>7157832</v>
      </c>
      <c r="F34">
        <v>1</v>
      </c>
      <c r="G34">
        <v>7157832</v>
      </c>
      <c r="H34">
        <v>3</v>
      </c>
      <c r="I34" t="s">
        <v>177</v>
      </c>
      <c r="J34" t="s">
        <v>178</v>
      </c>
      <c r="K34" t="s">
        <v>179</v>
      </c>
      <c r="L34">
        <v>1348</v>
      </c>
      <c r="N34">
        <v>1009</v>
      </c>
      <c r="O34" t="s">
        <v>27</v>
      </c>
      <c r="P34" t="s">
        <v>27</v>
      </c>
      <c r="Q34">
        <v>1000</v>
      </c>
      <c r="Y34">
        <v>0.001</v>
      </c>
      <c r="AA34">
        <v>17876.91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0.001</v>
      </c>
      <c r="AV34">
        <v>0</v>
      </c>
      <c r="AW34">
        <v>2</v>
      </c>
      <c r="AX34">
        <v>22535832</v>
      </c>
      <c r="AY34">
        <v>1</v>
      </c>
      <c r="AZ34">
        <v>0</v>
      </c>
      <c r="BA34">
        <v>28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ROW(Source!A33)</f>
        <v>33</v>
      </c>
      <c r="B35">
        <v>22535680</v>
      </c>
      <c r="C35">
        <v>22535817</v>
      </c>
      <c r="D35">
        <v>3998217</v>
      </c>
      <c r="E35">
        <v>3</v>
      </c>
      <c r="F35">
        <v>1</v>
      </c>
      <c r="G35">
        <v>7157832</v>
      </c>
      <c r="H35">
        <v>3</v>
      </c>
      <c r="I35" t="s">
        <v>175</v>
      </c>
      <c r="K35" t="s">
        <v>182</v>
      </c>
      <c r="L35">
        <v>1354</v>
      </c>
      <c r="N35">
        <v>1010</v>
      </c>
      <c r="O35" t="s">
        <v>181</v>
      </c>
      <c r="P35" t="s">
        <v>181</v>
      </c>
      <c r="Q35">
        <v>1</v>
      </c>
      <c r="Y35">
        <v>10</v>
      </c>
      <c r="AA35">
        <v>0</v>
      </c>
      <c r="AB35">
        <v>0</v>
      </c>
      <c r="AC35">
        <v>0</v>
      </c>
      <c r="AD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T35">
        <v>10</v>
      </c>
      <c r="AV35">
        <v>0</v>
      </c>
      <c r="AW35">
        <v>2</v>
      </c>
      <c r="AX35">
        <v>22535833</v>
      </c>
      <c r="AY35">
        <v>1</v>
      </c>
      <c r="AZ35">
        <v>0</v>
      </c>
      <c r="BA35">
        <v>29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ROW(Source!A35)</f>
        <v>35</v>
      </c>
      <c r="B36">
        <v>22535680</v>
      </c>
      <c r="C36">
        <v>22535836</v>
      </c>
      <c r="D36">
        <v>7157835</v>
      </c>
      <c r="E36">
        <v>7157832</v>
      </c>
      <c r="F36">
        <v>1</v>
      </c>
      <c r="G36">
        <v>7157832</v>
      </c>
      <c r="H36">
        <v>1</v>
      </c>
      <c r="I36" t="s">
        <v>135</v>
      </c>
      <c r="K36" t="s">
        <v>136</v>
      </c>
      <c r="L36">
        <v>1191</v>
      </c>
      <c r="N36">
        <v>1013</v>
      </c>
      <c r="O36" t="s">
        <v>137</v>
      </c>
      <c r="P36" t="s">
        <v>137</v>
      </c>
      <c r="Q36">
        <v>1</v>
      </c>
      <c r="Y36">
        <v>4.51</v>
      </c>
      <c r="AA36">
        <v>0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4.51</v>
      </c>
      <c r="AV36">
        <v>1</v>
      </c>
      <c r="AW36">
        <v>2</v>
      </c>
      <c r="AX36">
        <v>22535849</v>
      </c>
      <c r="AY36">
        <v>2</v>
      </c>
      <c r="AZ36">
        <v>4096</v>
      </c>
      <c r="BA36">
        <v>30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ROW(Source!A35)</f>
        <v>35</v>
      </c>
      <c r="B37">
        <v>22535680</v>
      </c>
      <c r="C37">
        <v>22535836</v>
      </c>
      <c r="D37">
        <v>3970501</v>
      </c>
      <c r="E37">
        <v>3</v>
      </c>
      <c r="F37">
        <v>1</v>
      </c>
      <c r="G37">
        <v>7157832</v>
      </c>
      <c r="H37">
        <v>2</v>
      </c>
      <c r="I37" t="s">
        <v>138</v>
      </c>
      <c r="J37" t="s">
        <v>139</v>
      </c>
      <c r="K37" t="s">
        <v>140</v>
      </c>
      <c r="L37">
        <v>1344</v>
      </c>
      <c r="N37">
        <v>1008</v>
      </c>
      <c r="O37" t="s">
        <v>141</v>
      </c>
      <c r="P37" t="s">
        <v>141</v>
      </c>
      <c r="Q37">
        <v>1</v>
      </c>
      <c r="Y37">
        <v>0.01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0.01</v>
      </c>
      <c r="AV37">
        <v>0</v>
      </c>
      <c r="AW37">
        <v>2</v>
      </c>
      <c r="AX37">
        <v>22535850</v>
      </c>
      <c r="AY37">
        <v>2</v>
      </c>
      <c r="AZ37">
        <v>77824</v>
      </c>
      <c r="BA37">
        <v>31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ROW(Source!A35)</f>
        <v>35</v>
      </c>
      <c r="B38">
        <v>22535680</v>
      </c>
      <c r="C38">
        <v>22535836</v>
      </c>
      <c r="D38">
        <v>4012582</v>
      </c>
      <c r="E38">
        <v>3</v>
      </c>
      <c r="F38">
        <v>1</v>
      </c>
      <c r="G38">
        <v>7157832</v>
      </c>
      <c r="H38">
        <v>3</v>
      </c>
      <c r="I38" t="s">
        <v>142</v>
      </c>
      <c r="J38" t="s">
        <v>170</v>
      </c>
      <c r="K38" t="s">
        <v>171</v>
      </c>
      <c r="L38">
        <v>1348</v>
      </c>
      <c r="N38">
        <v>1009</v>
      </c>
      <c r="O38" t="s">
        <v>27</v>
      </c>
      <c r="P38" t="s">
        <v>27</v>
      </c>
      <c r="Q38">
        <v>1000</v>
      </c>
      <c r="Y38">
        <v>0.008</v>
      </c>
      <c r="AA38">
        <v>0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0.008</v>
      </c>
      <c r="AV38">
        <v>0</v>
      </c>
      <c r="AW38">
        <v>2</v>
      </c>
      <c r="AX38">
        <v>22535853</v>
      </c>
      <c r="AY38">
        <v>1</v>
      </c>
      <c r="AZ38">
        <v>0</v>
      </c>
      <c r="BA38">
        <v>32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ROW(Source!A35)</f>
        <v>35</v>
      </c>
      <c r="B39">
        <v>22535680</v>
      </c>
      <c r="C39">
        <v>22535836</v>
      </c>
      <c r="D39">
        <v>7232755</v>
      </c>
      <c r="E39">
        <v>1</v>
      </c>
      <c r="F39">
        <v>1</v>
      </c>
      <c r="G39">
        <v>7157832</v>
      </c>
      <c r="H39">
        <v>3</v>
      </c>
      <c r="I39" t="s">
        <v>52</v>
      </c>
      <c r="J39" t="s">
        <v>54</v>
      </c>
      <c r="K39" t="s">
        <v>53</v>
      </c>
      <c r="L39">
        <v>1348</v>
      </c>
      <c r="N39">
        <v>1009</v>
      </c>
      <c r="O39" t="s">
        <v>27</v>
      </c>
      <c r="P39" t="s">
        <v>27</v>
      </c>
      <c r="Q39">
        <v>1000</v>
      </c>
      <c r="Y39">
        <v>0.04</v>
      </c>
      <c r="AA39">
        <v>14739.12</v>
      </c>
      <c r="AB39">
        <v>0</v>
      </c>
      <c r="AC39">
        <v>0</v>
      </c>
      <c r="AD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T39">
        <v>0.04</v>
      </c>
      <c r="AV39">
        <v>0</v>
      </c>
      <c r="AW39">
        <v>1</v>
      </c>
      <c r="AX39">
        <v>-1</v>
      </c>
      <c r="AY39">
        <v>0</v>
      </c>
      <c r="AZ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ROW(Source!A35)</f>
        <v>35</v>
      </c>
      <c r="B40">
        <v>22535680</v>
      </c>
      <c r="C40">
        <v>22535836</v>
      </c>
      <c r="D40">
        <v>7231768</v>
      </c>
      <c r="E40">
        <v>7157832</v>
      </c>
      <c r="F40">
        <v>1</v>
      </c>
      <c r="G40">
        <v>7157832</v>
      </c>
      <c r="H40">
        <v>3</v>
      </c>
      <c r="I40" t="s">
        <v>177</v>
      </c>
      <c r="J40" t="s">
        <v>178</v>
      </c>
      <c r="K40" t="s">
        <v>179</v>
      </c>
      <c r="L40">
        <v>1348</v>
      </c>
      <c r="N40">
        <v>1009</v>
      </c>
      <c r="O40" t="s">
        <v>27</v>
      </c>
      <c r="P40" t="s">
        <v>27</v>
      </c>
      <c r="Q40">
        <v>1000</v>
      </c>
      <c r="Y40">
        <v>0.003</v>
      </c>
      <c r="AA40">
        <v>17876.91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0.003</v>
      </c>
      <c r="AV40">
        <v>0</v>
      </c>
      <c r="AW40">
        <v>2</v>
      </c>
      <c r="AX40">
        <v>22535851</v>
      </c>
      <c r="AY40">
        <v>1</v>
      </c>
      <c r="AZ40">
        <v>0</v>
      </c>
      <c r="BA40">
        <v>33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ROW(Source!A35)</f>
        <v>35</v>
      </c>
      <c r="B41">
        <v>22535680</v>
      </c>
      <c r="C41">
        <v>22535836</v>
      </c>
      <c r="D41">
        <v>3998223</v>
      </c>
      <c r="E41">
        <v>3</v>
      </c>
      <c r="F41">
        <v>1</v>
      </c>
      <c r="G41">
        <v>7157832</v>
      </c>
      <c r="H41">
        <v>3</v>
      </c>
      <c r="I41" t="s">
        <v>175</v>
      </c>
      <c r="K41" t="s">
        <v>180</v>
      </c>
      <c r="L41">
        <v>1354</v>
      </c>
      <c r="N41">
        <v>1010</v>
      </c>
      <c r="O41" t="s">
        <v>181</v>
      </c>
      <c r="P41" t="s">
        <v>181</v>
      </c>
      <c r="Q41">
        <v>1</v>
      </c>
      <c r="Y41">
        <v>10</v>
      </c>
      <c r="AA41">
        <v>0</v>
      </c>
      <c r="AB41">
        <v>0</v>
      </c>
      <c r="AC41">
        <v>0</v>
      </c>
      <c r="AD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T41">
        <v>10</v>
      </c>
      <c r="AV41">
        <v>0</v>
      </c>
      <c r="AW41">
        <v>2</v>
      </c>
      <c r="AX41">
        <v>22535852</v>
      </c>
      <c r="AY41">
        <v>1</v>
      </c>
      <c r="AZ41">
        <v>0</v>
      </c>
      <c r="BA41">
        <v>34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ROW(Source!A37)</f>
        <v>37</v>
      </c>
      <c r="B42">
        <v>22535680</v>
      </c>
      <c r="C42">
        <v>22535855</v>
      </c>
      <c r="D42">
        <v>7157835</v>
      </c>
      <c r="E42">
        <v>7157832</v>
      </c>
      <c r="F42">
        <v>1</v>
      </c>
      <c r="G42">
        <v>7157832</v>
      </c>
      <c r="H42">
        <v>1</v>
      </c>
      <c r="I42" t="s">
        <v>135</v>
      </c>
      <c r="K42" t="s">
        <v>136</v>
      </c>
      <c r="L42">
        <v>1191</v>
      </c>
      <c r="N42">
        <v>1013</v>
      </c>
      <c r="O42" t="s">
        <v>137</v>
      </c>
      <c r="P42" t="s">
        <v>137</v>
      </c>
      <c r="Q42">
        <v>1</v>
      </c>
      <c r="Y42">
        <v>3.78</v>
      </c>
      <c r="AA42">
        <v>0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3.78</v>
      </c>
      <c r="AV42">
        <v>1</v>
      </c>
      <c r="AW42">
        <v>2</v>
      </c>
      <c r="AX42">
        <v>22535864</v>
      </c>
      <c r="AY42">
        <v>2</v>
      </c>
      <c r="AZ42">
        <v>4096</v>
      </c>
      <c r="BA42">
        <v>35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ROW(Source!A37)</f>
        <v>37</v>
      </c>
      <c r="B43">
        <v>22535680</v>
      </c>
      <c r="C43">
        <v>22535855</v>
      </c>
      <c r="D43">
        <v>3970501</v>
      </c>
      <c r="E43">
        <v>3</v>
      </c>
      <c r="F43">
        <v>1</v>
      </c>
      <c r="G43">
        <v>7157832</v>
      </c>
      <c r="H43">
        <v>2</v>
      </c>
      <c r="I43" t="s">
        <v>138</v>
      </c>
      <c r="J43" t="s">
        <v>139</v>
      </c>
      <c r="K43" t="s">
        <v>140</v>
      </c>
      <c r="L43">
        <v>1344</v>
      </c>
      <c r="N43">
        <v>1008</v>
      </c>
      <c r="O43" t="s">
        <v>141</v>
      </c>
      <c r="P43" t="s">
        <v>141</v>
      </c>
      <c r="Q43">
        <v>1</v>
      </c>
      <c r="Y43">
        <v>0.01</v>
      </c>
      <c r="AA43">
        <v>0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0.01</v>
      </c>
      <c r="AV43">
        <v>0</v>
      </c>
      <c r="AW43">
        <v>2</v>
      </c>
      <c r="AX43">
        <v>22535865</v>
      </c>
      <c r="AY43">
        <v>2</v>
      </c>
      <c r="AZ43">
        <v>77824</v>
      </c>
      <c r="BA43">
        <v>36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ROW(Source!A37)</f>
        <v>37</v>
      </c>
      <c r="B44">
        <v>22535680</v>
      </c>
      <c r="C44">
        <v>22535855</v>
      </c>
      <c r="D44">
        <v>4012582</v>
      </c>
      <c r="E44">
        <v>3</v>
      </c>
      <c r="F44">
        <v>1</v>
      </c>
      <c r="G44">
        <v>7157832</v>
      </c>
      <c r="H44">
        <v>3</v>
      </c>
      <c r="I44" t="s">
        <v>142</v>
      </c>
      <c r="J44" t="s">
        <v>170</v>
      </c>
      <c r="K44" t="s">
        <v>171</v>
      </c>
      <c r="L44">
        <v>1348</v>
      </c>
      <c r="N44">
        <v>1009</v>
      </c>
      <c r="O44" t="s">
        <v>27</v>
      </c>
      <c r="P44" t="s">
        <v>27</v>
      </c>
      <c r="Q44">
        <v>1000</v>
      </c>
      <c r="Y44">
        <v>0.008</v>
      </c>
      <c r="AA44">
        <v>0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0.008</v>
      </c>
      <c r="AV44">
        <v>0</v>
      </c>
      <c r="AW44">
        <v>2</v>
      </c>
      <c r="AX44">
        <v>22535867</v>
      </c>
      <c r="AY44">
        <v>1</v>
      </c>
      <c r="AZ44">
        <v>0</v>
      </c>
      <c r="BA44">
        <v>37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ROW(Source!A37)</f>
        <v>37</v>
      </c>
      <c r="B45">
        <v>22535680</v>
      </c>
      <c r="C45">
        <v>22535855</v>
      </c>
      <c r="D45">
        <v>7232605</v>
      </c>
      <c r="E45">
        <v>7157832</v>
      </c>
      <c r="F45">
        <v>1</v>
      </c>
      <c r="G45">
        <v>7157832</v>
      </c>
      <c r="H45">
        <v>3</v>
      </c>
      <c r="I45" t="s">
        <v>172</v>
      </c>
      <c r="J45" t="s">
        <v>173</v>
      </c>
      <c r="K45" t="s">
        <v>174</v>
      </c>
      <c r="L45">
        <v>1348</v>
      </c>
      <c r="N45">
        <v>1009</v>
      </c>
      <c r="O45" t="s">
        <v>27</v>
      </c>
      <c r="P45" t="s">
        <v>27</v>
      </c>
      <c r="Q45">
        <v>1000</v>
      </c>
      <c r="Y45">
        <v>0.0078</v>
      </c>
      <c r="AA45">
        <v>6870.66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0.0078</v>
      </c>
      <c r="AV45">
        <v>0</v>
      </c>
      <c r="AW45">
        <v>2</v>
      </c>
      <c r="AX45">
        <v>22535866</v>
      </c>
      <c r="AY45">
        <v>1</v>
      </c>
      <c r="AZ45">
        <v>0</v>
      </c>
      <c r="BA45">
        <v>38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ROW(Source!A38)</f>
        <v>38</v>
      </c>
      <c r="B46">
        <v>22535680</v>
      </c>
      <c r="C46">
        <v>22535868</v>
      </c>
      <c r="D46">
        <v>7157835</v>
      </c>
      <c r="E46">
        <v>7157832</v>
      </c>
      <c r="F46">
        <v>1</v>
      </c>
      <c r="G46">
        <v>7157832</v>
      </c>
      <c r="H46">
        <v>1</v>
      </c>
      <c r="I46" t="s">
        <v>135</v>
      </c>
      <c r="K46" t="s">
        <v>136</v>
      </c>
      <c r="L46">
        <v>1191</v>
      </c>
      <c r="N46">
        <v>1013</v>
      </c>
      <c r="O46" t="s">
        <v>137</v>
      </c>
      <c r="P46" t="s">
        <v>137</v>
      </c>
      <c r="Q46">
        <v>1</v>
      </c>
      <c r="Y46">
        <v>29</v>
      </c>
      <c r="AA46">
        <v>0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29</v>
      </c>
      <c r="AV46">
        <v>1</v>
      </c>
      <c r="AW46">
        <v>2</v>
      </c>
      <c r="AX46">
        <v>22535884</v>
      </c>
      <c r="AY46">
        <v>2</v>
      </c>
      <c r="AZ46">
        <v>4096</v>
      </c>
      <c r="BA46">
        <v>39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ROW(Source!A38)</f>
        <v>38</v>
      </c>
      <c r="B47">
        <v>22535680</v>
      </c>
      <c r="C47">
        <v>22535868</v>
      </c>
      <c r="D47">
        <v>7231234</v>
      </c>
      <c r="E47">
        <v>7157832</v>
      </c>
      <c r="F47">
        <v>1</v>
      </c>
      <c r="G47">
        <v>7157832</v>
      </c>
      <c r="H47">
        <v>2</v>
      </c>
      <c r="I47" t="s">
        <v>183</v>
      </c>
      <c r="J47" t="s">
        <v>184</v>
      </c>
      <c r="K47" t="s">
        <v>185</v>
      </c>
      <c r="L47">
        <v>1368</v>
      </c>
      <c r="N47">
        <v>1011</v>
      </c>
      <c r="O47" t="s">
        <v>154</v>
      </c>
      <c r="P47" t="s">
        <v>154</v>
      </c>
      <c r="Q47">
        <v>1</v>
      </c>
      <c r="Y47">
        <v>6.42</v>
      </c>
      <c r="AA47">
        <v>0</v>
      </c>
      <c r="AB47">
        <v>5.28</v>
      </c>
      <c r="AC47">
        <v>0.64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6.42</v>
      </c>
      <c r="AV47">
        <v>0</v>
      </c>
      <c r="AW47">
        <v>2</v>
      </c>
      <c r="AX47">
        <v>22535885</v>
      </c>
      <c r="AY47">
        <v>2</v>
      </c>
      <c r="AZ47">
        <v>4096</v>
      </c>
      <c r="BA47">
        <v>40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ROW(Source!A38)</f>
        <v>38</v>
      </c>
      <c r="B48">
        <v>22535680</v>
      </c>
      <c r="C48">
        <v>22535868</v>
      </c>
      <c r="D48">
        <v>7231421</v>
      </c>
      <c r="E48">
        <v>7157832</v>
      </c>
      <c r="F48">
        <v>1</v>
      </c>
      <c r="G48">
        <v>7157832</v>
      </c>
      <c r="H48">
        <v>2</v>
      </c>
      <c r="I48" t="s">
        <v>155</v>
      </c>
      <c r="J48" t="s">
        <v>156</v>
      </c>
      <c r="K48" t="s">
        <v>157</v>
      </c>
      <c r="L48">
        <v>1368</v>
      </c>
      <c r="N48">
        <v>1011</v>
      </c>
      <c r="O48" t="s">
        <v>154</v>
      </c>
      <c r="P48" t="s">
        <v>154</v>
      </c>
      <c r="Q48">
        <v>1</v>
      </c>
      <c r="Y48">
        <v>0.51</v>
      </c>
      <c r="AA48">
        <v>0</v>
      </c>
      <c r="AB48">
        <v>74.44</v>
      </c>
      <c r="AC48">
        <v>17.59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0.51</v>
      </c>
      <c r="AV48">
        <v>0</v>
      </c>
      <c r="AW48">
        <v>2</v>
      </c>
      <c r="AX48">
        <v>22535886</v>
      </c>
      <c r="AY48">
        <v>2</v>
      </c>
      <c r="AZ48">
        <v>4096</v>
      </c>
      <c r="BA48">
        <v>41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ROW(Source!A38)</f>
        <v>38</v>
      </c>
      <c r="B49">
        <v>22535680</v>
      </c>
      <c r="C49">
        <v>22535868</v>
      </c>
      <c r="D49">
        <v>4012592</v>
      </c>
      <c r="E49">
        <v>3</v>
      </c>
      <c r="F49">
        <v>1</v>
      </c>
      <c r="G49">
        <v>7157832</v>
      </c>
      <c r="H49">
        <v>3</v>
      </c>
      <c r="I49" t="s">
        <v>142</v>
      </c>
      <c r="J49" t="s">
        <v>143</v>
      </c>
      <c r="K49" t="s">
        <v>144</v>
      </c>
      <c r="L49">
        <v>1344</v>
      </c>
      <c r="N49">
        <v>1008</v>
      </c>
      <c r="O49" t="s">
        <v>141</v>
      </c>
      <c r="P49" t="s">
        <v>141</v>
      </c>
      <c r="Q49">
        <v>1</v>
      </c>
      <c r="Y49">
        <v>16.52</v>
      </c>
      <c r="AA49">
        <v>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16.52</v>
      </c>
      <c r="AV49">
        <v>0</v>
      </c>
      <c r="AW49">
        <v>2</v>
      </c>
      <c r="AX49">
        <v>22535890</v>
      </c>
      <c r="AY49">
        <v>2</v>
      </c>
      <c r="AZ49">
        <v>32768</v>
      </c>
      <c r="BA49">
        <v>43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ROW(Source!A38)</f>
        <v>38</v>
      </c>
      <c r="B50">
        <v>22535680</v>
      </c>
      <c r="C50">
        <v>22535868</v>
      </c>
      <c r="D50">
        <v>7231719</v>
      </c>
      <c r="E50">
        <v>1</v>
      </c>
      <c r="F50">
        <v>1</v>
      </c>
      <c r="G50">
        <v>7157832</v>
      </c>
      <c r="H50">
        <v>3</v>
      </c>
      <c r="I50" t="s">
        <v>88</v>
      </c>
      <c r="J50" t="s">
        <v>90</v>
      </c>
      <c r="K50" t="s">
        <v>89</v>
      </c>
      <c r="L50">
        <v>1348</v>
      </c>
      <c r="N50">
        <v>1009</v>
      </c>
      <c r="O50" t="s">
        <v>27</v>
      </c>
      <c r="P50" t="s">
        <v>27</v>
      </c>
      <c r="Q50">
        <v>1000</v>
      </c>
      <c r="Y50">
        <v>0.23</v>
      </c>
      <c r="AA50">
        <v>7777.06</v>
      </c>
      <c r="AB50">
        <v>0</v>
      </c>
      <c r="AC50">
        <v>0</v>
      </c>
      <c r="AD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T50">
        <v>0.23</v>
      </c>
      <c r="AV50">
        <v>0</v>
      </c>
      <c r="AW50">
        <v>1</v>
      </c>
      <c r="AX50">
        <v>-1</v>
      </c>
      <c r="AY50">
        <v>0</v>
      </c>
      <c r="AZ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ROW(Source!A38)</f>
        <v>38</v>
      </c>
      <c r="B51">
        <v>22535680</v>
      </c>
      <c r="C51">
        <v>22535868</v>
      </c>
      <c r="D51">
        <v>7232070</v>
      </c>
      <c r="E51">
        <v>1</v>
      </c>
      <c r="F51">
        <v>1</v>
      </c>
      <c r="G51">
        <v>7157832</v>
      </c>
      <c r="H51">
        <v>3</v>
      </c>
      <c r="I51" t="s">
        <v>80</v>
      </c>
      <c r="J51" t="s">
        <v>82</v>
      </c>
      <c r="K51" t="s">
        <v>81</v>
      </c>
      <c r="L51">
        <v>1348</v>
      </c>
      <c r="N51">
        <v>1009</v>
      </c>
      <c r="O51" t="s">
        <v>27</v>
      </c>
      <c r="P51" t="s">
        <v>27</v>
      </c>
      <c r="Q51">
        <v>1000</v>
      </c>
      <c r="Y51">
        <v>0.04</v>
      </c>
      <c r="AA51">
        <v>7438.24</v>
      </c>
      <c r="AB51">
        <v>0</v>
      </c>
      <c r="AC51">
        <v>0</v>
      </c>
      <c r="AD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T51">
        <v>0.04</v>
      </c>
      <c r="AV51">
        <v>0</v>
      </c>
      <c r="AW51">
        <v>1</v>
      </c>
      <c r="AX51">
        <v>-1</v>
      </c>
      <c r="AY51">
        <v>0</v>
      </c>
      <c r="AZ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ROW(Source!A38)</f>
        <v>38</v>
      </c>
      <c r="B52">
        <v>22535680</v>
      </c>
      <c r="C52">
        <v>22535868</v>
      </c>
      <c r="D52">
        <v>7231718</v>
      </c>
      <c r="E52">
        <v>1</v>
      </c>
      <c r="F52">
        <v>1</v>
      </c>
      <c r="G52">
        <v>7157832</v>
      </c>
      <c r="H52">
        <v>3</v>
      </c>
      <c r="I52" t="s">
        <v>84</v>
      </c>
      <c r="J52" t="s">
        <v>86</v>
      </c>
      <c r="K52" t="s">
        <v>85</v>
      </c>
      <c r="L52">
        <v>1348</v>
      </c>
      <c r="N52">
        <v>1009</v>
      </c>
      <c r="O52" t="s">
        <v>27</v>
      </c>
      <c r="P52" t="s">
        <v>27</v>
      </c>
      <c r="Q52">
        <v>1000</v>
      </c>
      <c r="Y52">
        <v>0.06</v>
      </c>
      <c r="AA52">
        <v>7682.53</v>
      </c>
      <c r="AB52">
        <v>0</v>
      </c>
      <c r="AC52">
        <v>0</v>
      </c>
      <c r="AD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T52">
        <v>0.06</v>
      </c>
      <c r="AV52">
        <v>0</v>
      </c>
      <c r="AW52">
        <v>1</v>
      </c>
      <c r="AX52">
        <v>-1</v>
      </c>
      <c r="AY52">
        <v>0</v>
      </c>
      <c r="AZ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4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22535738</v>
      </c>
      <c r="C1">
        <v>22535721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135</v>
      </c>
      <c r="K1" t="s">
        <v>136</v>
      </c>
      <c r="L1">
        <v>1191</v>
      </c>
      <c r="N1">
        <v>1013</v>
      </c>
      <c r="O1" t="s">
        <v>137</v>
      </c>
      <c r="P1" t="s">
        <v>137</v>
      </c>
      <c r="Q1">
        <v>1</v>
      </c>
      <c r="X1">
        <v>182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20</v>
      </c>
      <c r="AG1">
        <v>209.29999999999998</v>
      </c>
      <c r="AH1">
        <v>2</v>
      </c>
      <c r="AI1">
        <v>22535722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22535739</v>
      </c>
      <c r="C2">
        <v>22535721</v>
      </c>
      <c r="D2">
        <v>7159942</v>
      </c>
      <c r="E2">
        <v>7157832</v>
      </c>
      <c r="F2">
        <v>1</v>
      </c>
      <c r="G2">
        <v>7157832</v>
      </c>
      <c r="H2">
        <v>2</v>
      </c>
      <c r="I2" t="s">
        <v>138</v>
      </c>
      <c r="J2" t="s">
        <v>139</v>
      </c>
      <c r="K2" t="s">
        <v>140</v>
      </c>
      <c r="L2">
        <v>1344</v>
      </c>
      <c r="N2">
        <v>1008</v>
      </c>
      <c r="O2" t="s">
        <v>141</v>
      </c>
      <c r="P2" t="s">
        <v>141</v>
      </c>
      <c r="Q2">
        <v>1</v>
      </c>
      <c r="X2">
        <v>1060.12</v>
      </c>
      <c r="Y2">
        <v>0</v>
      </c>
      <c r="Z2">
        <v>1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18</v>
      </c>
      <c r="AG2">
        <v>1523.9224999999997</v>
      </c>
      <c r="AH2">
        <v>2</v>
      </c>
      <c r="AI2">
        <v>22535723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22535743</v>
      </c>
      <c r="C3">
        <v>22535721</v>
      </c>
      <c r="D3">
        <v>7182707</v>
      </c>
      <c r="E3">
        <v>7157832</v>
      </c>
      <c r="F3">
        <v>1</v>
      </c>
      <c r="G3">
        <v>7157832</v>
      </c>
      <c r="H3">
        <v>3</v>
      </c>
      <c r="I3" t="s">
        <v>142</v>
      </c>
      <c r="J3" t="s">
        <v>143</v>
      </c>
      <c r="K3" t="s">
        <v>144</v>
      </c>
      <c r="L3">
        <v>1344</v>
      </c>
      <c r="N3">
        <v>1008</v>
      </c>
      <c r="O3" t="s">
        <v>141</v>
      </c>
      <c r="P3" t="s">
        <v>141</v>
      </c>
      <c r="Q3">
        <v>1</v>
      </c>
      <c r="X3">
        <v>30</v>
      </c>
      <c r="Y3">
        <v>1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G3">
        <v>30</v>
      </c>
      <c r="AH3">
        <v>2</v>
      </c>
      <c r="AI3">
        <v>22535729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22535740</v>
      </c>
      <c r="C4">
        <v>22535721</v>
      </c>
      <c r="D4">
        <v>7231840</v>
      </c>
      <c r="E4">
        <v>1</v>
      </c>
      <c r="F4">
        <v>1</v>
      </c>
      <c r="G4">
        <v>7157832</v>
      </c>
      <c r="H4">
        <v>3</v>
      </c>
      <c r="I4" t="s">
        <v>145</v>
      </c>
      <c r="J4" t="s">
        <v>186</v>
      </c>
      <c r="K4" t="s">
        <v>147</v>
      </c>
      <c r="L4">
        <v>1348</v>
      </c>
      <c r="N4">
        <v>1009</v>
      </c>
      <c r="O4" t="s">
        <v>27</v>
      </c>
      <c r="P4" t="s">
        <v>27</v>
      </c>
      <c r="Q4">
        <v>1000</v>
      </c>
      <c r="X4">
        <v>0.011</v>
      </c>
      <c r="Y4">
        <v>62915.22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0.011</v>
      </c>
      <c r="AH4">
        <v>2</v>
      </c>
      <c r="AI4">
        <v>22535724</v>
      </c>
      <c r="AJ4">
        <v>5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22535741</v>
      </c>
      <c r="C5">
        <v>22535721</v>
      </c>
      <c r="D5">
        <v>7162408</v>
      </c>
      <c r="E5">
        <v>7157832</v>
      </c>
      <c r="F5">
        <v>1</v>
      </c>
      <c r="G5">
        <v>7157832</v>
      </c>
      <c r="H5">
        <v>3</v>
      </c>
      <c r="I5" t="s">
        <v>148</v>
      </c>
      <c r="K5" t="s">
        <v>187</v>
      </c>
      <c r="L5">
        <v>1348</v>
      </c>
      <c r="N5">
        <v>1009</v>
      </c>
      <c r="O5" t="s">
        <v>27</v>
      </c>
      <c r="P5" t="s">
        <v>27</v>
      </c>
      <c r="Q5">
        <v>1000</v>
      </c>
      <c r="X5">
        <v>1.053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G5">
        <v>1.053</v>
      </c>
      <c r="AH5">
        <v>2</v>
      </c>
      <c r="AI5">
        <v>22535725</v>
      </c>
      <c r="AJ5">
        <v>6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22535742</v>
      </c>
      <c r="C6">
        <v>22535721</v>
      </c>
      <c r="D6">
        <v>7162408</v>
      </c>
      <c r="E6">
        <v>7157832</v>
      </c>
      <c r="F6">
        <v>1</v>
      </c>
      <c r="G6">
        <v>7157832</v>
      </c>
      <c r="H6">
        <v>3</v>
      </c>
      <c r="I6" t="s">
        <v>148</v>
      </c>
      <c r="K6" t="s">
        <v>188</v>
      </c>
      <c r="L6">
        <v>1348</v>
      </c>
      <c r="N6">
        <v>1009</v>
      </c>
      <c r="O6" t="s">
        <v>27</v>
      </c>
      <c r="P6" t="s">
        <v>27</v>
      </c>
      <c r="Q6">
        <v>1000</v>
      </c>
      <c r="X6">
        <v>0.226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G6">
        <v>0.226</v>
      </c>
      <c r="AH6">
        <v>2</v>
      </c>
      <c r="AI6">
        <v>22535727</v>
      </c>
      <c r="AJ6">
        <v>7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ROW(Source!A26)</f>
        <v>26</v>
      </c>
      <c r="B7">
        <v>22535765</v>
      </c>
      <c r="C7">
        <v>22535745</v>
      </c>
      <c r="D7">
        <v>7157835</v>
      </c>
      <c r="E7">
        <v>7157832</v>
      </c>
      <c r="F7">
        <v>1</v>
      </c>
      <c r="G7">
        <v>7157832</v>
      </c>
      <c r="H7">
        <v>1</v>
      </c>
      <c r="I7" t="s">
        <v>135</v>
      </c>
      <c r="K7" t="s">
        <v>136</v>
      </c>
      <c r="L7">
        <v>1191</v>
      </c>
      <c r="N7">
        <v>1013</v>
      </c>
      <c r="O7" t="s">
        <v>137</v>
      </c>
      <c r="P7" t="s">
        <v>137</v>
      </c>
      <c r="Q7">
        <v>1</v>
      </c>
      <c r="X7">
        <v>5.9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1</v>
      </c>
      <c r="AF7" t="s">
        <v>20</v>
      </c>
      <c r="AG7">
        <v>6.785</v>
      </c>
      <c r="AH7">
        <v>2</v>
      </c>
      <c r="AI7">
        <v>22535746</v>
      </c>
      <c r="AJ7">
        <v>8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ROW(Source!A26)</f>
        <v>26</v>
      </c>
      <c r="B8">
        <v>22535766</v>
      </c>
      <c r="C8">
        <v>22535745</v>
      </c>
      <c r="D8">
        <v>7231214</v>
      </c>
      <c r="E8">
        <v>1</v>
      </c>
      <c r="F8">
        <v>1</v>
      </c>
      <c r="G8">
        <v>7157832</v>
      </c>
      <c r="H8">
        <v>2</v>
      </c>
      <c r="I8" t="s">
        <v>151</v>
      </c>
      <c r="J8" t="s">
        <v>189</v>
      </c>
      <c r="K8" t="s">
        <v>153</v>
      </c>
      <c r="L8">
        <v>1368</v>
      </c>
      <c r="N8">
        <v>1011</v>
      </c>
      <c r="O8" t="s">
        <v>154</v>
      </c>
      <c r="P8" t="s">
        <v>154</v>
      </c>
      <c r="Q8">
        <v>1</v>
      </c>
      <c r="X8">
        <v>1.59</v>
      </c>
      <c r="Y8">
        <v>0</v>
      </c>
      <c r="Z8">
        <v>6.22</v>
      </c>
      <c r="AA8">
        <v>0.29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2.285625</v>
      </c>
      <c r="AH8">
        <v>2</v>
      </c>
      <c r="AI8">
        <v>22535747</v>
      </c>
      <c r="AJ8">
        <v>9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ROW(Source!A26)</f>
        <v>26</v>
      </c>
      <c r="B9">
        <v>22535767</v>
      </c>
      <c r="C9">
        <v>22535745</v>
      </c>
      <c r="D9">
        <v>7231421</v>
      </c>
      <c r="E9">
        <v>1</v>
      </c>
      <c r="F9">
        <v>1</v>
      </c>
      <c r="G9">
        <v>7157832</v>
      </c>
      <c r="H9">
        <v>2</v>
      </c>
      <c r="I9" t="s">
        <v>155</v>
      </c>
      <c r="J9" t="s">
        <v>190</v>
      </c>
      <c r="K9" t="s">
        <v>157</v>
      </c>
      <c r="L9">
        <v>1368</v>
      </c>
      <c r="N9">
        <v>1011</v>
      </c>
      <c r="O9" t="s">
        <v>154</v>
      </c>
      <c r="P9" t="s">
        <v>154</v>
      </c>
      <c r="Q9">
        <v>1</v>
      </c>
      <c r="X9">
        <v>0.13</v>
      </c>
      <c r="Y9">
        <v>0</v>
      </c>
      <c r="Z9">
        <v>74.44</v>
      </c>
      <c r="AA9">
        <v>17.59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0.18687499999999999</v>
      </c>
      <c r="AH9">
        <v>2</v>
      </c>
      <c r="AI9">
        <v>22535748</v>
      </c>
      <c r="AJ9">
        <v>10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ROW(Source!A26)</f>
        <v>26</v>
      </c>
      <c r="B10">
        <v>22535768</v>
      </c>
      <c r="C10">
        <v>22535745</v>
      </c>
      <c r="D10">
        <v>7230811</v>
      </c>
      <c r="E10">
        <v>1</v>
      </c>
      <c r="F10">
        <v>1</v>
      </c>
      <c r="G10">
        <v>7157832</v>
      </c>
      <c r="H10">
        <v>2</v>
      </c>
      <c r="I10" t="s">
        <v>161</v>
      </c>
      <c r="J10" t="s">
        <v>191</v>
      </c>
      <c r="K10" t="s">
        <v>163</v>
      </c>
      <c r="L10">
        <v>1368</v>
      </c>
      <c r="N10">
        <v>1011</v>
      </c>
      <c r="O10" t="s">
        <v>154</v>
      </c>
      <c r="P10" t="s">
        <v>154</v>
      </c>
      <c r="Q10">
        <v>1</v>
      </c>
      <c r="X10">
        <v>0.1</v>
      </c>
      <c r="Y10">
        <v>0</v>
      </c>
      <c r="Z10">
        <v>102.11</v>
      </c>
      <c r="AA10">
        <v>30.03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0.14375</v>
      </c>
      <c r="AH10">
        <v>2</v>
      </c>
      <c r="AI10">
        <v>22535750</v>
      </c>
      <c r="AJ10">
        <v>12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ROW(Source!A26)</f>
        <v>26</v>
      </c>
      <c r="B11">
        <v>22535769</v>
      </c>
      <c r="C11">
        <v>22535745</v>
      </c>
      <c r="D11">
        <v>7232679</v>
      </c>
      <c r="E11">
        <v>1</v>
      </c>
      <c r="F11">
        <v>1</v>
      </c>
      <c r="G11">
        <v>7157832</v>
      </c>
      <c r="H11">
        <v>3</v>
      </c>
      <c r="I11" t="s">
        <v>164</v>
      </c>
      <c r="J11" t="s">
        <v>192</v>
      </c>
      <c r="K11" t="s">
        <v>166</v>
      </c>
      <c r="L11">
        <v>1348</v>
      </c>
      <c r="N11">
        <v>1009</v>
      </c>
      <c r="O11" t="s">
        <v>27</v>
      </c>
      <c r="P11" t="s">
        <v>27</v>
      </c>
      <c r="Q11">
        <v>1000</v>
      </c>
      <c r="X11">
        <v>0.00052</v>
      </c>
      <c r="Y11">
        <v>23120.53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0.00052</v>
      </c>
      <c r="AH11">
        <v>2</v>
      </c>
      <c r="AI11">
        <v>22535751</v>
      </c>
      <c r="AJ11">
        <v>13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ROW(Source!A26)</f>
        <v>26</v>
      </c>
      <c r="B12">
        <v>22535770</v>
      </c>
      <c r="C12">
        <v>22535745</v>
      </c>
      <c r="D12">
        <v>7233230</v>
      </c>
      <c r="E12">
        <v>1</v>
      </c>
      <c r="F12">
        <v>1</v>
      </c>
      <c r="G12">
        <v>7157832</v>
      </c>
      <c r="H12">
        <v>3</v>
      </c>
      <c r="I12" t="s">
        <v>167</v>
      </c>
      <c r="J12" t="s">
        <v>193</v>
      </c>
      <c r="K12" t="s">
        <v>169</v>
      </c>
      <c r="L12">
        <v>1348</v>
      </c>
      <c r="N12">
        <v>1009</v>
      </c>
      <c r="O12" t="s">
        <v>27</v>
      </c>
      <c r="P12" t="s">
        <v>27</v>
      </c>
      <c r="Q12">
        <v>1000</v>
      </c>
      <c r="X12">
        <v>0.0005</v>
      </c>
      <c r="Y12">
        <v>7191.81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0.0005</v>
      </c>
      <c r="AH12">
        <v>2</v>
      </c>
      <c r="AI12">
        <v>22535752</v>
      </c>
      <c r="AJ12">
        <v>14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22535771</v>
      </c>
      <c r="C13">
        <v>22535745</v>
      </c>
      <c r="D13">
        <v>7174644</v>
      </c>
      <c r="E13">
        <v>7157832</v>
      </c>
      <c r="F13">
        <v>1</v>
      </c>
      <c r="G13">
        <v>7157832</v>
      </c>
      <c r="H13">
        <v>3</v>
      </c>
      <c r="I13" t="s">
        <v>194</v>
      </c>
      <c r="K13" t="s">
        <v>195</v>
      </c>
      <c r="L13">
        <v>1348</v>
      </c>
      <c r="N13">
        <v>1009</v>
      </c>
      <c r="O13" t="s">
        <v>27</v>
      </c>
      <c r="P13" t="s">
        <v>27</v>
      </c>
      <c r="Q13">
        <v>1000</v>
      </c>
      <c r="X13">
        <v>0.3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G13">
        <v>0.3</v>
      </c>
      <c r="AH13">
        <v>3</v>
      </c>
      <c r="AI13">
        <v>-1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ROW(Source!A28)</f>
        <v>28</v>
      </c>
      <c r="B14">
        <v>22535780</v>
      </c>
      <c r="C14">
        <v>22535773</v>
      </c>
      <c r="D14">
        <v>7157835</v>
      </c>
      <c r="E14">
        <v>7157832</v>
      </c>
      <c r="F14">
        <v>1</v>
      </c>
      <c r="G14">
        <v>7157832</v>
      </c>
      <c r="H14">
        <v>1</v>
      </c>
      <c r="I14" t="s">
        <v>135</v>
      </c>
      <c r="K14" t="s">
        <v>136</v>
      </c>
      <c r="L14">
        <v>1191</v>
      </c>
      <c r="N14">
        <v>1013</v>
      </c>
      <c r="O14" t="s">
        <v>137</v>
      </c>
      <c r="P14" t="s">
        <v>137</v>
      </c>
      <c r="Q14">
        <v>1</v>
      </c>
      <c r="X14">
        <v>11.04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1</v>
      </c>
      <c r="AF14" t="s">
        <v>20</v>
      </c>
      <c r="AG14">
        <v>12.695999999999998</v>
      </c>
      <c r="AH14">
        <v>2</v>
      </c>
      <c r="AI14">
        <v>22535774</v>
      </c>
      <c r="AJ14">
        <v>16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ROW(Source!A28)</f>
        <v>28</v>
      </c>
      <c r="B15">
        <v>22535781</v>
      </c>
      <c r="C15">
        <v>22535773</v>
      </c>
      <c r="D15">
        <v>7182702</v>
      </c>
      <c r="E15">
        <v>7157832</v>
      </c>
      <c r="F15">
        <v>1</v>
      </c>
      <c r="G15">
        <v>7157832</v>
      </c>
      <c r="H15">
        <v>3</v>
      </c>
      <c r="I15" t="s">
        <v>142</v>
      </c>
      <c r="J15" t="s">
        <v>170</v>
      </c>
      <c r="K15" t="s">
        <v>171</v>
      </c>
      <c r="L15">
        <v>1348</v>
      </c>
      <c r="N15">
        <v>1009</v>
      </c>
      <c r="O15" t="s">
        <v>27</v>
      </c>
      <c r="P15" t="s">
        <v>27</v>
      </c>
      <c r="Q15">
        <v>1000</v>
      </c>
      <c r="X15">
        <v>0.325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0.325</v>
      </c>
      <c r="AH15">
        <v>2</v>
      </c>
      <c r="AI15">
        <v>22535776</v>
      </c>
      <c r="AJ15">
        <v>18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22535793</v>
      </c>
      <c r="C16">
        <v>22535782</v>
      </c>
      <c r="D16">
        <v>7157835</v>
      </c>
      <c r="E16">
        <v>7157832</v>
      </c>
      <c r="F16">
        <v>1</v>
      </c>
      <c r="G16">
        <v>7157832</v>
      </c>
      <c r="H16">
        <v>1</v>
      </c>
      <c r="I16" t="s">
        <v>135</v>
      </c>
      <c r="K16" t="s">
        <v>136</v>
      </c>
      <c r="L16">
        <v>1191</v>
      </c>
      <c r="N16">
        <v>1013</v>
      </c>
      <c r="O16" t="s">
        <v>137</v>
      </c>
      <c r="P16" t="s">
        <v>137</v>
      </c>
      <c r="Q16">
        <v>1</v>
      </c>
      <c r="X16">
        <v>35.04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1</v>
      </c>
      <c r="AF16" t="s">
        <v>20</v>
      </c>
      <c r="AG16">
        <v>40.296</v>
      </c>
      <c r="AH16">
        <v>2</v>
      </c>
      <c r="AI16">
        <v>22535783</v>
      </c>
      <c r="AJ16">
        <v>19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22535794</v>
      </c>
      <c r="C17">
        <v>22535782</v>
      </c>
      <c r="D17">
        <v>7159942</v>
      </c>
      <c r="E17">
        <v>7157832</v>
      </c>
      <c r="F17">
        <v>1</v>
      </c>
      <c r="G17">
        <v>7157832</v>
      </c>
      <c r="H17">
        <v>2</v>
      </c>
      <c r="I17" t="s">
        <v>138</v>
      </c>
      <c r="J17" t="s">
        <v>139</v>
      </c>
      <c r="K17" t="s">
        <v>140</v>
      </c>
      <c r="L17">
        <v>1344</v>
      </c>
      <c r="N17">
        <v>1008</v>
      </c>
      <c r="O17" t="s">
        <v>141</v>
      </c>
      <c r="P17" t="s">
        <v>141</v>
      </c>
      <c r="Q17">
        <v>1</v>
      </c>
      <c r="X17">
        <v>2.15</v>
      </c>
      <c r="Y17">
        <v>0</v>
      </c>
      <c r="Z17">
        <v>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20</v>
      </c>
      <c r="AG17">
        <v>2.4724999999999997</v>
      </c>
      <c r="AH17">
        <v>2</v>
      </c>
      <c r="AI17">
        <v>22535784</v>
      </c>
      <c r="AJ17">
        <v>20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22535795</v>
      </c>
      <c r="C18">
        <v>22535782</v>
      </c>
      <c r="D18">
        <v>7232605</v>
      </c>
      <c r="E18">
        <v>1</v>
      </c>
      <c r="F18">
        <v>1</v>
      </c>
      <c r="G18">
        <v>7157832</v>
      </c>
      <c r="H18">
        <v>3</v>
      </c>
      <c r="I18" t="s">
        <v>172</v>
      </c>
      <c r="J18" t="s">
        <v>196</v>
      </c>
      <c r="K18" t="s">
        <v>174</v>
      </c>
      <c r="L18">
        <v>1348</v>
      </c>
      <c r="N18">
        <v>1009</v>
      </c>
      <c r="O18" t="s">
        <v>27</v>
      </c>
      <c r="P18" t="s">
        <v>27</v>
      </c>
      <c r="Q18">
        <v>1000</v>
      </c>
      <c r="X18">
        <v>0.095</v>
      </c>
      <c r="Y18">
        <v>6870.66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0.095</v>
      </c>
      <c r="AH18">
        <v>2</v>
      </c>
      <c r="AI18">
        <v>22535785</v>
      </c>
      <c r="AJ18">
        <v>22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22535796</v>
      </c>
      <c r="C19">
        <v>22535782</v>
      </c>
      <c r="D19">
        <v>7174806</v>
      </c>
      <c r="E19">
        <v>7157832</v>
      </c>
      <c r="F19">
        <v>1</v>
      </c>
      <c r="G19">
        <v>7157832</v>
      </c>
      <c r="H19">
        <v>3</v>
      </c>
      <c r="I19" t="s">
        <v>175</v>
      </c>
      <c r="K19" t="s">
        <v>176</v>
      </c>
      <c r="L19">
        <v>1348</v>
      </c>
      <c r="N19">
        <v>1009</v>
      </c>
      <c r="O19" t="s">
        <v>27</v>
      </c>
      <c r="P19" t="s">
        <v>27</v>
      </c>
      <c r="Q19">
        <v>1000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0</v>
      </c>
      <c r="AH19">
        <v>2</v>
      </c>
      <c r="AI19">
        <v>22535786</v>
      </c>
      <c r="AJ19">
        <v>23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ROW(Source!A31)</f>
        <v>31</v>
      </c>
      <c r="B20">
        <v>22535811</v>
      </c>
      <c r="C20">
        <v>22535798</v>
      </c>
      <c r="D20">
        <v>7157835</v>
      </c>
      <c r="E20">
        <v>7157832</v>
      </c>
      <c r="F20">
        <v>1</v>
      </c>
      <c r="G20">
        <v>7157832</v>
      </c>
      <c r="H20">
        <v>1</v>
      </c>
      <c r="I20" t="s">
        <v>135</v>
      </c>
      <c r="K20" t="s">
        <v>136</v>
      </c>
      <c r="L20">
        <v>1191</v>
      </c>
      <c r="N20">
        <v>1013</v>
      </c>
      <c r="O20" t="s">
        <v>137</v>
      </c>
      <c r="P20" t="s">
        <v>137</v>
      </c>
      <c r="Q20">
        <v>1</v>
      </c>
      <c r="X20">
        <v>4.51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1</v>
      </c>
      <c r="AF20" t="s">
        <v>20</v>
      </c>
      <c r="AG20">
        <v>5.1865</v>
      </c>
      <c r="AH20">
        <v>2</v>
      </c>
      <c r="AI20">
        <v>22535799</v>
      </c>
      <c r="AJ20">
        <v>24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ROW(Source!A31)</f>
        <v>31</v>
      </c>
      <c r="B21">
        <v>22535812</v>
      </c>
      <c r="C21">
        <v>22535798</v>
      </c>
      <c r="D21">
        <v>7159942</v>
      </c>
      <c r="E21">
        <v>7157832</v>
      </c>
      <c r="F21">
        <v>1</v>
      </c>
      <c r="G21">
        <v>7157832</v>
      </c>
      <c r="H21">
        <v>2</v>
      </c>
      <c r="I21" t="s">
        <v>138</v>
      </c>
      <c r="J21" t="s">
        <v>139</v>
      </c>
      <c r="K21" t="s">
        <v>140</v>
      </c>
      <c r="L21">
        <v>1344</v>
      </c>
      <c r="N21">
        <v>1008</v>
      </c>
      <c r="O21" t="s">
        <v>141</v>
      </c>
      <c r="P21" t="s">
        <v>141</v>
      </c>
      <c r="Q21">
        <v>1</v>
      </c>
      <c r="X21">
        <v>0.02</v>
      </c>
      <c r="Y21">
        <v>0</v>
      </c>
      <c r="Z21">
        <v>1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20</v>
      </c>
      <c r="AG21">
        <v>0.023</v>
      </c>
      <c r="AH21">
        <v>2</v>
      </c>
      <c r="AI21">
        <v>22535800</v>
      </c>
      <c r="AJ21">
        <v>25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ROW(Source!A31)</f>
        <v>31</v>
      </c>
      <c r="B22">
        <v>22535815</v>
      </c>
      <c r="C22">
        <v>22535798</v>
      </c>
      <c r="D22">
        <v>7182702</v>
      </c>
      <c r="E22">
        <v>7157832</v>
      </c>
      <c r="F22">
        <v>1</v>
      </c>
      <c r="G22">
        <v>7157832</v>
      </c>
      <c r="H22">
        <v>3</v>
      </c>
      <c r="I22" t="s">
        <v>142</v>
      </c>
      <c r="J22" t="s">
        <v>170</v>
      </c>
      <c r="K22" t="s">
        <v>171</v>
      </c>
      <c r="L22">
        <v>1348</v>
      </c>
      <c r="N22">
        <v>1009</v>
      </c>
      <c r="O22" t="s">
        <v>27</v>
      </c>
      <c r="P22" t="s">
        <v>27</v>
      </c>
      <c r="Q22">
        <v>1000</v>
      </c>
      <c r="X22">
        <v>0.008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0.008</v>
      </c>
      <c r="AH22">
        <v>2</v>
      </c>
      <c r="AI22">
        <v>22535803</v>
      </c>
      <c r="AJ22">
        <v>26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ROW(Source!A31)</f>
        <v>31</v>
      </c>
      <c r="B23">
        <v>22535813</v>
      </c>
      <c r="C23">
        <v>22535798</v>
      </c>
      <c r="D23">
        <v>7231768</v>
      </c>
      <c r="E23">
        <v>1</v>
      </c>
      <c r="F23">
        <v>1</v>
      </c>
      <c r="G23">
        <v>7157832</v>
      </c>
      <c r="H23">
        <v>3</v>
      </c>
      <c r="I23" t="s">
        <v>177</v>
      </c>
      <c r="J23" t="s">
        <v>197</v>
      </c>
      <c r="K23" t="s">
        <v>179</v>
      </c>
      <c r="L23">
        <v>1348</v>
      </c>
      <c r="N23">
        <v>1009</v>
      </c>
      <c r="O23" t="s">
        <v>27</v>
      </c>
      <c r="P23" t="s">
        <v>27</v>
      </c>
      <c r="Q23">
        <v>1000</v>
      </c>
      <c r="X23">
        <v>0.003</v>
      </c>
      <c r="Y23">
        <v>17876.91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0.003</v>
      </c>
      <c r="AH23">
        <v>2</v>
      </c>
      <c r="AI23">
        <v>22535801</v>
      </c>
      <c r="AJ23">
        <v>28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ROW(Source!A31)</f>
        <v>31</v>
      </c>
      <c r="B24">
        <v>22535814</v>
      </c>
      <c r="C24">
        <v>22535798</v>
      </c>
      <c r="D24">
        <v>7174806</v>
      </c>
      <c r="E24">
        <v>7157832</v>
      </c>
      <c r="F24">
        <v>1</v>
      </c>
      <c r="G24">
        <v>7157832</v>
      </c>
      <c r="H24">
        <v>3</v>
      </c>
      <c r="I24" t="s">
        <v>175</v>
      </c>
      <c r="K24" t="s">
        <v>180</v>
      </c>
      <c r="L24">
        <v>1354</v>
      </c>
      <c r="N24">
        <v>1010</v>
      </c>
      <c r="O24" t="s">
        <v>181</v>
      </c>
      <c r="P24" t="s">
        <v>181</v>
      </c>
      <c r="Q24">
        <v>1</v>
      </c>
      <c r="X24">
        <v>10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G24">
        <v>10</v>
      </c>
      <c r="AH24">
        <v>2</v>
      </c>
      <c r="AI24">
        <v>22535802</v>
      </c>
      <c r="AJ24">
        <v>29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ROW(Source!A33)</f>
        <v>33</v>
      </c>
      <c r="B25">
        <v>22535830</v>
      </c>
      <c r="C25">
        <v>22535817</v>
      </c>
      <c r="D25">
        <v>7157835</v>
      </c>
      <c r="E25">
        <v>7157832</v>
      </c>
      <c r="F25">
        <v>1</v>
      </c>
      <c r="G25">
        <v>7157832</v>
      </c>
      <c r="H25">
        <v>1</v>
      </c>
      <c r="I25" t="s">
        <v>135</v>
      </c>
      <c r="K25" t="s">
        <v>136</v>
      </c>
      <c r="L25">
        <v>1191</v>
      </c>
      <c r="N25">
        <v>1013</v>
      </c>
      <c r="O25" t="s">
        <v>137</v>
      </c>
      <c r="P25" t="s">
        <v>137</v>
      </c>
      <c r="Q25">
        <v>1</v>
      </c>
      <c r="X25">
        <v>5.36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1</v>
      </c>
      <c r="AF25" t="s">
        <v>20</v>
      </c>
      <c r="AG25">
        <v>6.164</v>
      </c>
      <c r="AH25">
        <v>2</v>
      </c>
      <c r="AI25">
        <v>22535818</v>
      </c>
      <c r="AJ25">
        <v>30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ROW(Source!A33)</f>
        <v>33</v>
      </c>
      <c r="B26">
        <v>22535831</v>
      </c>
      <c r="C26">
        <v>22535817</v>
      </c>
      <c r="D26">
        <v>7159942</v>
      </c>
      <c r="E26">
        <v>7157832</v>
      </c>
      <c r="F26">
        <v>1</v>
      </c>
      <c r="G26">
        <v>7157832</v>
      </c>
      <c r="H26">
        <v>2</v>
      </c>
      <c r="I26" t="s">
        <v>138</v>
      </c>
      <c r="J26" t="s">
        <v>139</v>
      </c>
      <c r="K26" t="s">
        <v>140</v>
      </c>
      <c r="L26">
        <v>1344</v>
      </c>
      <c r="N26">
        <v>1008</v>
      </c>
      <c r="O26" t="s">
        <v>141</v>
      </c>
      <c r="P26" t="s">
        <v>141</v>
      </c>
      <c r="Q26">
        <v>1</v>
      </c>
      <c r="X26">
        <v>0.02</v>
      </c>
      <c r="Y26">
        <v>0</v>
      </c>
      <c r="Z26">
        <v>1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20</v>
      </c>
      <c r="AG26">
        <v>0.023</v>
      </c>
      <c r="AH26">
        <v>2</v>
      </c>
      <c r="AI26">
        <v>22535819</v>
      </c>
      <c r="AJ26">
        <v>31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ROW(Source!A33)</f>
        <v>33</v>
      </c>
      <c r="B27">
        <v>22535834</v>
      </c>
      <c r="C27">
        <v>22535817</v>
      </c>
      <c r="D27">
        <v>7182702</v>
      </c>
      <c r="E27">
        <v>7157832</v>
      </c>
      <c r="F27">
        <v>1</v>
      </c>
      <c r="G27">
        <v>7157832</v>
      </c>
      <c r="H27">
        <v>3</v>
      </c>
      <c r="I27" t="s">
        <v>142</v>
      </c>
      <c r="J27" t="s">
        <v>170</v>
      </c>
      <c r="K27" t="s">
        <v>171</v>
      </c>
      <c r="L27">
        <v>1348</v>
      </c>
      <c r="N27">
        <v>1009</v>
      </c>
      <c r="O27" t="s">
        <v>27</v>
      </c>
      <c r="P27" t="s">
        <v>27</v>
      </c>
      <c r="Q27">
        <v>1000</v>
      </c>
      <c r="X27">
        <v>0.008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0.008</v>
      </c>
      <c r="AH27">
        <v>2</v>
      </c>
      <c r="AI27">
        <v>22535822</v>
      </c>
      <c r="AJ27">
        <v>32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ROW(Source!A33)</f>
        <v>33</v>
      </c>
      <c r="B28">
        <v>22535832</v>
      </c>
      <c r="C28">
        <v>22535817</v>
      </c>
      <c r="D28">
        <v>7231768</v>
      </c>
      <c r="E28">
        <v>1</v>
      </c>
      <c r="F28">
        <v>1</v>
      </c>
      <c r="G28">
        <v>7157832</v>
      </c>
      <c r="H28">
        <v>3</v>
      </c>
      <c r="I28" t="s">
        <v>177</v>
      </c>
      <c r="J28" t="s">
        <v>197</v>
      </c>
      <c r="K28" t="s">
        <v>179</v>
      </c>
      <c r="L28">
        <v>1348</v>
      </c>
      <c r="N28">
        <v>1009</v>
      </c>
      <c r="O28" t="s">
        <v>27</v>
      </c>
      <c r="P28" t="s">
        <v>27</v>
      </c>
      <c r="Q28">
        <v>1000</v>
      </c>
      <c r="X28">
        <v>0.001</v>
      </c>
      <c r="Y28">
        <v>17876.91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0.001</v>
      </c>
      <c r="AH28">
        <v>2</v>
      </c>
      <c r="AI28">
        <v>22535820</v>
      </c>
      <c r="AJ28">
        <v>34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ROW(Source!A33)</f>
        <v>33</v>
      </c>
      <c r="B29">
        <v>22535833</v>
      </c>
      <c r="C29">
        <v>22535817</v>
      </c>
      <c r="D29">
        <v>7174806</v>
      </c>
      <c r="E29">
        <v>7157832</v>
      </c>
      <c r="F29">
        <v>1</v>
      </c>
      <c r="G29">
        <v>7157832</v>
      </c>
      <c r="H29">
        <v>3</v>
      </c>
      <c r="I29" t="s">
        <v>175</v>
      </c>
      <c r="K29" t="s">
        <v>182</v>
      </c>
      <c r="L29">
        <v>1354</v>
      </c>
      <c r="N29">
        <v>1010</v>
      </c>
      <c r="O29" t="s">
        <v>181</v>
      </c>
      <c r="P29" t="s">
        <v>181</v>
      </c>
      <c r="Q29">
        <v>1</v>
      </c>
      <c r="X29">
        <v>10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G29">
        <v>10</v>
      </c>
      <c r="AH29">
        <v>2</v>
      </c>
      <c r="AI29">
        <v>22535821</v>
      </c>
      <c r="AJ29">
        <v>35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ROW(Source!A35)</f>
        <v>35</v>
      </c>
      <c r="B30">
        <v>22535849</v>
      </c>
      <c r="C30">
        <v>22535836</v>
      </c>
      <c r="D30">
        <v>7157835</v>
      </c>
      <c r="E30">
        <v>7157832</v>
      </c>
      <c r="F30">
        <v>1</v>
      </c>
      <c r="G30">
        <v>7157832</v>
      </c>
      <c r="H30">
        <v>1</v>
      </c>
      <c r="I30" t="s">
        <v>135</v>
      </c>
      <c r="K30" t="s">
        <v>136</v>
      </c>
      <c r="L30">
        <v>1191</v>
      </c>
      <c r="N30">
        <v>1013</v>
      </c>
      <c r="O30" t="s">
        <v>137</v>
      </c>
      <c r="P30" t="s">
        <v>137</v>
      </c>
      <c r="Q30">
        <v>1</v>
      </c>
      <c r="X30">
        <v>4.51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1</v>
      </c>
      <c r="AF30" t="s">
        <v>20</v>
      </c>
      <c r="AG30">
        <v>5.1865</v>
      </c>
      <c r="AH30">
        <v>2</v>
      </c>
      <c r="AI30">
        <v>22535837</v>
      </c>
      <c r="AJ30">
        <v>36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ROW(Source!A35)</f>
        <v>35</v>
      </c>
      <c r="B31">
        <v>22535850</v>
      </c>
      <c r="C31">
        <v>22535836</v>
      </c>
      <c r="D31">
        <v>7159942</v>
      </c>
      <c r="E31">
        <v>7157832</v>
      </c>
      <c r="F31">
        <v>1</v>
      </c>
      <c r="G31">
        <v>7157832</v>
      </c>
      <c r="H31">
        <v>2</v>
      </c>
      <c r="I31" t="s">
        <v>138</v>
      </c>
      <c r="J31" t="s">
        <v>139</v>
      </c>
      <c r="K31" t="s">
        <v>140</v>
      </c>
      <c r="L31">
        <v>1344</v>
      </c>
      <c r="N31">
        <v>1008</v>
      </c>
      <c r="O31" t="s">
        <v>141</v>
      </c>
      <c r="P31" t="s">
        <v>141</v>
      </c>
      <c r="Q31">
        <v>1</v>
      </c>
      <c r="X31">
        <v>0.02</v>
      </c>
      <c r="Y31">
        <v>0</v>
      </c>
      <c r="Z31">
        <v>1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20</v>
      </c>
      <c r="AG31">
        <v>0.023</v>
      </c>
      <c r="AH31">
        <v>2</v>
      </c>
      <c r="AI31">
        <v>22535838</v>
      </c>
      <c r="AJ31">
        <v>37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ROW(Source!A35)</f>
        <v>35</v>
      </c>
      <c r="B32">
        <v>22535853</v>
      </c>
      <c r="C32">
        <v>22535836</v>
      </c>
      <c r="D32">
        <v>7182702</v>
      </c>
      <c r="E32">
        <v>7157832</v>
      </c>
      <c r="F32">
        <v>1</v>
      </c>
      <c r="G32">
        <v>7157832</v>
      </c>
      <c r="H32">
        <v>3</v>
      </c>
      <c r="I32" t="s">
        <v>142</v>
      </c>
      <c r="J32" t="s">
        <v>170</v>
      </c>
      <c r="K32" t="s">
        <v>171</v>
      </c>
      <c r="L32">
        <v>1348</v>
      </c>
      <c r="N32">
        <v>1009</v>
      </c>
      <c r="O32" t="s">
        <v>27</v>
      </c>
      <c r="P32" t="s">
        <v>27</v>
      </c>
      <c r="Q32">
        <v>1000</v>
      </c>
      <c r="X32">
        <v>0.008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0.008</v>
      </c>
      <c r="AH32">
        <v>2</v>
      </c>
      <c r="AI32">
        <v>22535841</v>
      </c>
      <c r="AJ32">
        <v>38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ROW(Source!A35)</f>
        <v>35</v>
      </c>
      <c r="B33">
        <v>22535851</v>
      </c>
      <c r="C33">
        <v>22535836</v>
      </c>
      <c r="D33">
        <v>7231768</v>
      </c>
      <c r="E33">
        <v>1</v>
      </c>
      <c r="F33">
        <v>1</v>
      </c>
      <c r="G33">
        <v>7157832</v>
      </c>
      <c r="H33">
        <v>3</v>
      </c>
      <c r="I33" t="s">
        <v>177</v>
      </c>
      <c r="J33" t="s">
        <v>197</v>
      </c>
      <c r="K33" t="s">
        <v>179</v>
      </c>
      <c r="L33">
        <v>1348</v>
      </c>
      <c r="N33">
        <v>1009</v>
      </c>
      <c r="O33" t="s">
        <v>27</v>
      </c>
      <c r="P33" t="s">
        <v>27</v>
      </c>
      <c r="Q33">
        <v>1000</v>
      </c>
      <c r="X33">
        <v>0.003</v>
      </c>
      <c r="Y33">
        <v>17876.91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0.003</v>
      </c>
      <c r="AH33">
        <v>2</v>
      </c>
      <c r="AI33">
        <v>22535839</v>
      </c>
      <c r="AJ33">
        <v>40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ROW(Source!A35)</f>
        <v>35</v>
      </c>
      <c r="B34">
        <v>22535852</v>
      </c>
      <c r="C34">
        <v>22535836</v>
      </c>
      <c r="D34">
        <v>7174806</v>
      </c>
      <c r="E34">
        <v>7157832</v>
      </c>
      <c r="F34">
        <v>1</v>
      </c>
      <c r="G34">
        <v>7157832</v>
      </c>
      <c r="H34">
        <v>3</v>
      </c>
      <c r="I34" t="s">
        <v>175</v>
      </c>
      <c r="K34" t="s">
        <v>180</v>
      </c>
      <c r="L34">
        <v>1354</v>
      </c>
      <c r="N34">
        <v>1010</v>
      </c>
      <c r="O34" t="s">
        <v>181</v>
      </c>
      <c r="P34" t="s">
        <v>181</v>
      </c>
      <c r="Q34">
        <v>1</v>
      </c>
      <c r="X34">
        <v>10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G34">
        <v>10</v>
      </c>
      <c r="AH34">
        <v>2</v>
      </c>
      <c r="AI34">
        <v>22535840</v>
      </c>
      <c r="AJ34">
        <v>41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ROW(Source!A37)</f>
        <v>37</v>
      </c>
      <c r="B35">
        <v>22535864</v>
      </c>
      <c r="C35">
        <v>22535855</v>
      </c>
      <c r="D35">
        <v>7157835</v>
      </c>
      <c r="E35">
        <v>7157832</v>
      </c>
      <c r="F35">
        <v>1</v>
      </c>
      <c r="G35">
        <v>7157832</v>
      </c>
      <c r="H35">
        <v>1</v>
      </c>
      <c r="I35" t="s">
        <v>135</v>
      </c>
      <c r="K35" t="s">
        <v>136</v>
      </c>
      <c r="L35">
        <v>1191</v>
      </c>
      <c r="N35">
        <v>1013</v>
      </c>
      <c r="O35" t="s">
        <v>137</v>
      </c>
      <c r="P35" t="s">
        <v>137</v>
      </c>
      <c r="Q35">
        <v>1</v>
      </c>
      <c r="X35">
        <v>3.78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1</v>
      </c>
      <c r="AF35" t="s">
        <v>20</v>
      </c>
      <c r="AG35">
        <v>4.3469999999999995</v>
      </c>
      <c r="AH35">
        <v>2</v>
      </c>
      <c r="AI35">
        <v>22535856</v>
      </c>
      <c r="AJ35">
        <v>42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ROW(Source!A37)</f>
        <v>37</v>
      </c>
      <c r="B36">
        <v>22535865</v>
      </c>
      <c r="C36">
        <v>22535855</v>
      </c>
      <c r="D36">
        <v>7159942</v>
      </c>
      <c r="E36">
        <v>7157832</v>
      </c>
      <c r="F36">
        <v>1</v>
      </c>
      <c r="G36">
        <v>7157832</v>
      </c>
      <c r="H36">
        <v>2</v>
      </c>
      <c r="I36" t="s">
        <v>138</v>
      </c>
      <c r="J36" t="s">
        <v>139</v>
      </c>
      <c r="K36" t="s">
        <v>140</v>
      </c>
      <c r="L36">
        <v>1344</v>
      </c>
      <c r="N36">
        <v>1008</v>
      </c>
      <c r="O36" t="s">
        <v>141</v>
      </c>
      <c r="P36" t="s">
        <v>141</v>
      </c>
      <c r="Q36">
        <v>1</v>
      </c>
      <c r="X36">
        <v>0.02</v>
      </c>
      <c r="Y36">
        <v>0</v>
      </c>
      <c r="Z36">
        <v>1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20</v>
      </c>
      <c r="AG36">
        <v>0.023</v>
      </c>
      <c r="AH36">
        <v>2</v>
      </c>
      <c r="AI36">
        <v>22535857</v>
      </c>
      <c r="AJ36">
        <v>43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ROW(Source!A37)</f>
        <v>37</v>
      </c>
      <c r="B37">
        <v>22535867</v>
      </c>
      <c r="C37">
        <v>22535855</v>
      </c>
      <c r="D37">
        <v>7182702</v>
      </c>
      <c r="E37">
        <v>7157832</v>
      </c>
      <c r="F37">
        <v>1</v>
      </c>
      <c r="G37">
        <v>7157832</v>
      </c>
      <c r="H37">
        <v>3</v>
      </c>
      <c r="I37" t="s">
        <v>142</v>
      </c>
      <c r="J37" t="s">
        <v>170</v>
      </c>
      <c r="K37" t="s">
        <v>171</v>
      </c>
      <c r="L37">
        <v>1348</v>
      </c>
      <c r="N37">
        <v>1009</v>
      </c>
      <c r="O37" t="s">
        <v>27</v>
      </c>
      <c r="P37" t="s">
        <v>27</v>
      </c>
      <c r="Q37">
        <v>1000</v>
      </c>
      <c r="X37">
        <v>0.008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0.008</v>
      </c>
      <c r="AH37">
        <v>2</v>
      </c>
      <c r="AI37">
        <v>22535859</v>
      </c>
      <c r="AJ37">
        <v>44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ROW(Source!A37)</f>
        <v>37</v>
      </c>
      <c r="B38">
        <v>22535866</v>
      </c>
      <c r="C38">
        <v>22535855</v>
      </c>
      <c r="D38">
        <v>7232605</v>
      </c>
      <c r="E38">
        <v>1</v>
      </c>
      <c r="F38">
        <v>1</v>
      </c>
      <c r="G38">
        <v>7157832</v>
      </c>
      <c r="H38">
        <v>3</v>
      </c>
      <c r="I38" t="s">
        <v>172</v>
      </c>
      <c r="J38" t="s">
        <v>196</v>
      </c>
      <c r="K38" t="s">
        <v>174</v>
      </c>
      <c r="L38">
        <v>1348</v>
      </c>
      <c r="N38">
        <v>1009</v>
      </c>
      <c r="O38" t="s">
        <v>27</v>
      </c>
      <c r="P38" t="s">
        <v>27</v>
      </c>
      <c r="Q38">
        <v>1000</v>
      </c>
      <c r="X38">
        <v>0.0078</v>
      </c>
      <c r="Y38">
        <v>6870.66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0.0078</v>
      </c>
      <c r="AH38">
        <v>2</v>
      </c>
      <c r="AI38">
        <v>22535858</v>
      </c>
      <c r="AJ38">
        <v>45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ROW(Source!A38)</f>
        <v>38</v>
      </c>
      <c r="B39">
        <v>22535884</v>
      </c>
      <c r="C39">
        <v>22535868</v>
      </c>
      <c r="D39">
        <v>7157835</v>
      </c>
      <c r="E39">
        <v>7157832</v>
      </c>
      <c r="F39">
        <v>1</v>
      </c>
      <c r="G39">
        <v>7157832</v>
      </c>
      <c r="H39">
        <v>1</v>
      </c>
      <c r="I39" t="s">
        <v>135</v>
      </c>
      <c r="K39" t="s">
        <v>136</v>
      </c>
      <c r="L39">
        <v>1191</v>
      </c>
      <c r="N39">
        <v>1013</v>
      </c>
      <c r="O39" t="s">
        <v>137</v>
      </c>
      <c r="P39" t="s">
        <v>137</v>
      </c>
      <c r="Q39">
        <v>1</v>
      </c>
      <c r="X39">
        <v>29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1</v>
      </c>
      <c r="AF39" t="s">
        <v>20</v>
      </c>
      <c r="AG39">
        <v>33.349999999999994</v>
      </c>
      <c r="AH39">
        <v>2</v>
      </c>
      <c r="AI39">
        <v>22535869</v>
      </c>
      <c r="AJ39">
        <v>46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ROW(Source!A38)</f>
        <v>38</v>
      </c>
      <c r="B40">
        <v>22535885</v>
      </c>
      <c r="C40">
        <v>22535868</v>
      </c>
      <c r="D40">
        <v>7231234</v>
      </c>
      <c r="E40">
        <v>1</v>
      </c>
      <c r="F40">
        <v>1</v>
      </c>
      <c r="G40">
        <v>7157832</v>
      </c>
      <c r="H40">
        <v>2</v>
      </c>
      <c r="I40" t="s">
        <v>183</v>
      </c>
      <c r="J40" t="s">
        <v>198</v>
      </c>
      <c r="K40" t="s">
        <v>185</v>
      </c>
      <c r="L40">
        <v>1368</v>
      </c>
      <c r="N40">
        <v>1011</v>
      </c>
      <c r="O40" t="s">
        <v>154</v>
      </c>
      <c r="P40" t="s">
        <v>154</v>
      </c>
      <c r="Q40">
        <v>1</v>
      </c>
      <c r="X40">
        <v>6.42</v>
      </c>
      <c r="Y40">
        <v>0</v>
      </c>
      <c r="Z40">
        <v>5.28</v>
      </c>
      <c r="AA40">
        <v>0.64</v>
      </c>
      <c r="AB40">
        <v>0</v>
      </c>
      <c r="AC40">
        <v>0</v>
      </c>
      <c r="AD40">
        <v>1</v>
      </c>
      <c r="AE40">
        <v>0</v>
      </c>
      <c r="AF40" t="s">
        <v>18</v>
      </c>
      <c r="AG40">
        <v>9.228749999999998</v>
      </c>
      <c r="AH40">
        <v>2</v>
      </c>
      <c r="AI40">
        <v>22535870</v>
      </c>
      <c r="AJ40">
        <v>47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ROW(Source!A38)</f>
        <v>38</v>
      </c>
      <c r="B41">
        <v>22535886</v>
      </c>
      <c r="C41">
        <v>22535868</v>
      </c>
      <c r="D41">
        <v>7231421</v>
      </c>
      <c r="E41">
        <v>1</v>
      </c>
      <c r="F41">
        <v>1</v>
      </c>
      <c r="G41">
        <v>7157832</v>
      </c>
      <c r="H41">
        <v>2</v>
      </c>
      <c r="I41" t="s">
        <v>155</v>
      </c>
      <c r="J41" t="s">
        <v>190</v>
      </c>
      <c r="K41" t="s">
        <v>157</v>
      </c>
      <c r="L41">
        <v>1368</v>
      </c>
      <c r="N41">
        <v>1011</v>
      </c>
      <c r="O41" t="s">
        <v>154</v>
      </c>
      <c r="P41" t="s">
        <v>154</v>
      </c>
      <c r="Q41">
        <v>1</v>
      </c>
      <c r="X41">
        <v>0.51</v>
      </c>
      <c r="Y41">
        <v>0</v>
      </c>
      <c r="Z41">
        <v>74.44</v>
      </c>
      <c r="AA41">
        <v>17.59</v>
      </c>
      <c r="AB41">
        <v>0</v>
      </c>
      <c r="AC41">
        <v>0</v>
      </c>
      <c r="AD41">
        <v>1</v>
      </c>
      <c r="AE41">
        <v>0</v>
      </c>
      <c r="AF41" t="s">
        <v>18</v>
      </c>
      <c r="AG41">
        <v>0.7331249999999999</v>
      </c>
      <c r="AH41">
        <v>2</v>
      </c>
      <c r="AI41">
        <v>22535871</v>
      </c>
      <c r="AJ41">
        <v>48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ROW(Source!A38)</f>
        <v>38</v>
      </c>
      <c r="B42">
        <v>22535887</v>
      </c>
      <c r="C42">
        <v>22535868</v>
      </c>
      <c r="D42">
        <v>7157863</v>
      </c>
      <c r="E42">
        <v>7157832</v>
      </c>
      <c r="F42">
        <v>1</v>
      </c>
      <c r="G42">
        <v>7157832</v>
      </c>
      <c r="H42">
        <v>3</v>
      </c>
      <c r="I42" t="s">
        <v>199</v>
      </c>
      <c r="K42" t="s">
        <v>200</v>
      </c>
      <c r="L42">
        <v>1348</v>
      </c>
      <c r="N42">
        <v>1009</v>
      </c>
      <c r="O42" t="s">
        <v>27</v>
      </c>
      <c r="P42" t="s">
        <v>27</v>
      </c>
      <c r="Q42">
        <v>1000</v>
      </c>
      <c r="X42">
        <v>0.04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G42">
        <v>0.04</v>
      </c>
      <c r="AH42">
        <v>3</v>
      </c>
      <c r="AI42">
        <v>-1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ROW(Source!A38)</f>
        <v>38</v>
      </c>
      <c r="B43">
        <v>22535890</v>
      </c>
      <c r="C43">
        <v>22535868</v>
      </c>
      <c r="D43">
        <v>7182707</v>
      </c>
      <c r="E43">
        <v>7157832</v>
      </c>
      <c r="F43">
        <v>1</v>
      </c>
      <c r="G43">
        <v>7157832</v>
      </c>
      <c r="H43">
        <v>3</v>
      </c>
      <c r="I43" t="s">
        <v>142</v>
      </c>
      <c r="J43" t="s">
        <v>143</v>
      </c>
      <c r="K43" t="s">
        <v>144</v>
      </c>
      <c r="L43">
        <v>1344</v>
      </c>
      <c r="N43">
        <v>1008</v>
      </c>
      <c r="O43" t="s">
        <v>141</v>
      </c>
      <c r="P43" t="s">
        <v>141</v>
      </c>
      <c r="Q43">
        <v>1</v>
      </c>
      <c r="X43">
        <v>16.52</v>
      </c>
      <c r="Y43">
        <v>1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16.52</v>
      </c>
      <c r="AH43">
        <v>2</v>
      </c>
      <c r="AI43">
        <v>22535872</v>
      </c>
      <c r="AJ43">
        <v>49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ROW(Source!A38)</f>
        <v>38</v>
      </c>
      <c r="B44">
        <v>22535888</v>
      </c>
      <c r="C44">
        <v>22535868</v>
      </c>
      <c r="D44">
        <v>7162616</v>
      </c>
      <c r="E44">
        <v>7157832</v>
      </c>
      <c r="F44">
        <v>1</v>
      </c>
      <c r="G44">
        <v>7157832</v>
      </c>
      <c r="H44">
        <v>3</v>
      </c>
      <c r="I44" t="s">
        <v>201</v>
      </c>
      <c r="K44" t="s">
        <v>202</v>
      </c>
      <c r="L44">
        <v>1348</v>
      </c>
      <c r="N44">
        <v>1009</v>
      </c>
      <c r="O44" t="s">
        <v>27</v>
      </c>
      <c r="P44" t="s">
        <v>27</v>
      </c>
      <c r="Q44">
        <v>1000</v>
      </c>
      <c r="X44">
        <v>0.06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G44">
        <v>0.06</v>
      </c>
      <c r="AH44">
        <v>3</v>
      </c>
      <c r="AI44">
        <v>-1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ROW(Source!A38)</f>
        <v>38</v>
      </c>
      <c r="B45">
        <v>22535889</v>
      </c>
      <c r="C45">
        <v>22535868</v>
      </c>
      <c r="D45">
        <v>7162645</v>
      </c>
      <c r="E45">
        <v>7157832</v>
      </c>
      <c r="F45">
        <v>1</v>
      </c>
      <c r="G45">
        <v>7157832</v>
      </c>
      <c r="H45">
        <v>3</v>
      </c>
      <c r="I45" t="s">
        <v>203</v>
      </c>
      <c r="K45" t="s">
        <v>204</v>
      </c>
      <c r="L45">
        <v>1348</v>
      </c>
      <c r="N45">
        <v>1009</v>
      </c>
      <c r="O45" t="s">
        <v>27</v>
      </c>
      <c r="P45" t="s">
        <v>27</v>
      </c>
      <c r="Q45">
        <v>1000</v>
      </c>
      <c r="X45">
        <v>0.23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G45">
        <v>0.23</v>
      </c>
      <c r="AH45">
        <v>3</v>
      </c>
      <c r="AI45">
        <v>-1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Варламовы</cp:lastModifiedBy>
  <dcterms:modified xsi:type="dcterms:W3CDTF">2013-08-05T07:31:57Z</dcterms:modified>
  <cp:category/>
  <cp:version/>
  <cp:contentType/>
  <cp:contentStatus/>
</cp:coreProperties>
</file>