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55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'Локальная смета 12 гр. Для Т'!$30:$30</definedName>
    <definedName name="_xlnm.Print_Area" localSheetId="0">'Локальная смета 12 гр. Для Т'!$A$1:$L$141</definedName>
  </definedNames>
  <calcPr fullCalcOnLoad="1"/>
</workbook>
</file>

<file path=xl/sharedStrings.xml><?xml version="1.0" encoding="utf-8"?>
<sst xmlns="http://schemas.openxmlformats.org/spreadsheetml/2006/main" count="2003" uniqueCount="368">
  <si>
    <t>Smeta.ru  (495) 974-1589</t>
  </si>
  <si>
    <t>_PS_</t>
  </si>
  <si>
    <t>Smeta.ru</t>
  </si>
  <si>
    <t>ООО "Элкомпроект"  Доп. раб. место  FStS-0038458</t>
  </si>
  <si>
    <t>Новый объект</t>
  </si>
  <si>
    <t>Ковров</t>
  </si>
  <si>
    <t/>
  </si>
  <si>
    <t>Орищенко В.Д.</t>
  </si>
  <si>
    <t>Чернаков С.А.</t>
  </si>
  <si>
    <t>ТСНБ-2001 Московская область</t>
  </si>
  <si>
    <t>Генеральный директор</t>
  </si>
  <si>
    <t>Сметные нормы списания</t>
  </si>
  <si>
    <t>Коды ценников</t>
  </si>
  <si>
    <t>ОАО "Энергостройпроект"</t>
  </si>
  <si>
    <t>ООО "Элкомпроект"</t>
  </si>
  <si>
    <t>ТСНБ-2001 Московской области</t>
  </si>
  <si>
    <t>Версия 7.0.0.7 от 28.10.2011: для ФЕР, с п.3757-КК/08, п.6056-ИП/08,п.10753-ВТ/08 и п.15127-ИП/08 (Стр-во и рек-ия жилых / общ. зд.): Центральные регионы: Текущие цены</t>
  </si>
  <si>
    <t>Новая локальная смета</t>
  </si>
  <si>
    <t>{D1DB4F28-5776-4013-ADDA-0BF05990CFC6}</t>
  </si>
  <si>
    <t>Новый раздел</t>
  </si>
  <si>
    <t>{57E8D71C-5A3A-435E-BA46-3038220BBF10}</t>
  </si>
  <si>
    <t>Новый подраздел</t>
  </si>
  <si>
    <t>Строительные работы</t>
  </si>
  <si>
    <t>{9C623265-3F8B-48B4-86E1-B3F106F8A11F}</t>
  </si>
  <si>
    <t>1</t>
  </si>
  <si>
    <t>16-07-002-1</t>
  </si>
  <si>
    <t>Демонтажворонок водосточных</t>
  </si>
  <si>
    <t>шт.</t>
  </si>
  <si>
    <t>ТСНБ-2001 Московская обл 16-07-002-1, распоряжение №52 от 06.09.2011г.</t>
  </si>
  <si>
    <t>*0</t>
  </si>
  <si>
    <t>*0,4</t>
  </si>
  <si>
    <t>1 воронка</t>
  </si>
  <si>
    <t>Общестроительные работы</t>
  </si>
  <si>
    <t>Трубопроводы внутренние</t>
  </si>
  <si>
    <t>ФЕР-16</t>
  </si>
  <si>
    <t>((*0.85))</t>
  </si>
  <si>
    <t>((*0.8))</t>
  </si>
  <si>
    <t>2</t>
  </si>
  <si>
    <t>Установка воронок водосточных</t>
  </si>
  <si>
    <t>3</t>
  </si>
  <si>
    <t>58-16-3</t>
  </si>
  <si>
    <t>Ремонт цементной стяжки площадью заделки: до 1,0 м2</t>
  </si>
  <si>
    <t>100 шт.</t>
  </si>
  <si>
    <t>ТСНБ-2001 Московская обл 58-16-3, распоряжение №52 от 06.09.2011г.</t>
  </si>
  <si>
    <t>100 мест</t>
  </si>
  <si>
    <t>Ремонтно-строительные работы</t>
  </si>
  <si>
    <t>Крыши, кровля</t>
  </si>
  <si>
    <t>ФЕРр-58</t>
  </si>
  <si>
    <t>3,1</t>
  </si>
  <si>
    <t>402-0008</t>
  </si>
  <si>
    <t>Раствор готовый кладочный цементный марки 300</t>
  </si>
  <si>
    <t>м3</t>
  </si>
  <si>
    <t>ТСНБ-2001 Московская обл распоряжение № 51от 06.09.2011г. 402-0008</t>
  </si>
  <si>
    <t>3,2</t>
  </si>
  <si>
    <t>402-0004</t>
  </si>
  <si>
    <t>Раствор готовый кладочный цементный марки 100</t>
  </si>
  <si>
    <t>ТСНБ-2001 Московская обл распоряжение № 51от 06.09.2011г. 402-0004</t>
  </si>
  <si>
    <t>4</t>
  </si>
  <si>
    <t>62-41-1</t>
  </si>
  <si>
    <t>Очистка конструкций с обеспыливанием</t>
  </si>
  <si>
    <t>100 м2</t>
  </si>
  <si>
    <t>ТСНБ-2001 Московская обл 62-41-1, распоряжение №52 от 06.09.2011г.</t>
  </si>
  <si>
    <t>100 м2 расчищенной поверхности</t>
  </si>
  <si>
    <t>Малярные работы</t>
  </si>
  <si>
    <t>ФЕРр-62</t>
  </si>
  <si>
    <t>5</t>
  </si>
  <si>
    <t>12-01-004-1</t>
  </si>
  <si>
    <t>Герметизация примыканий фонарей</t>
  </si>
  <si>
    <t>100 м</t>
  </si>
  <si>
    <t>ТСНБ-2001 Московская обл 12-01-004-1, распоряжение №52 от 06.09.2011г.</t>
  </si>
  <si>
    <t>100 м примыканий</t>
  </si>
  <si>
    <t>Кровли</t>
  </si>
  <si>
    <t>ФЕР-12</t>
  </si>
  <si>
    <t>6</t>
  </si>
  <si>
    <t>прайс-лист</t>
  </si>
  <si>
    <t>Однокомпонентная резина GPSpraykote</t>
  </si>
  <si>
    <t>кг</t>
  </si>
  <si>
    <t>Прочие работы</t>
  </si>
  <si>
    <t>прочие</t>
  </si>
  <si>
    <t>7</t>
  </si>
  <si>
    <t>12-01-001-4</t>
  </si>
  <si>
    <t>Устройство герметизации швов рулонного покрытия и примыканий</t>
  </si>
  <si>
    <t>ТСНБ-2001 Московская обл 12-01-001-4, распоряжение №52 от 06.09.2011г.</t>
  </si>
  <si>
    <t>100 м2 кровли</t>
  </si>
  <si>
    <t>8</t>
  </si>
  <si>
    <t>9</t>
  </si>
  <si>
    <t>12-01-015-3</t>
  </si>
  <si>
    <t>Армирование геотекстилем швов рулонного покрытия и примыканий</t>
  </si>
  <si>
    <t>ТСНБ-2001 Московская обл 12-01-015-3, распоряжение №52 от 06.09.2011г.</t>
  </si>
  <si>
    <t>100 м2 изолируемой поверхности</t>
  </si>
  <si>
    <t>10</t>
  </si>
  <si>
    <t>СЦМ-101-0792</t>
  </si>
  <si>
    <t>Полотно иглопробивное</t>
  </si>
  <si>
    <t>10М2</t>
  </si>
  <si>
    <t>11</t>
  </si>
  <si>
    <t>12</t>
  </si>
  <si>
    <t>26-01-021-1</t>
  </si>
  <si>
    <t>Изоляция плоских и криволинейных поверхностей методом напыления</t>
  </si>
  <si>
    <t>1 м3</t>
  </si>
  <si>
    <t>ТСНБ-2001 Московская обл 26-01-021-1, распоряжение №52 от 06.09.2011г.</t>
  </si>
  <si>
    <t>1 м3 изоляции</t>
  </si>
  <si>
    <t>Теплоизоляционные работы</t>
  </si>
  <si>
    <t>ФЕР-26</t>
  </si>
  <si>
    <t>13</t>
  </si>
  <si>
    <t>101-1883</t>
  </si>
  <si>
    <t>Лента полиэтиленовая с липким слоем А50</t>
  </si>
  <si>
    <t>14</t>
  </si>
  <si>
    <t>113-0307</t>
  </si>
  <si>
    <t>Пленка полиэтиленовая толщиной 0,2-0,5 мм</t>
  </si>
  <si>
    <t>т</t>
  </si>
  <si>
    <t>ТСНБ-2001 Московская обл 113-0307</t>
  </si>
  <si>
    <t>Материалы</t>
  </si>
  <si>
    <t>Материалы и конструкции ( строительные )</t>
  </si>
  <si>
    <t>ФССЦ</t>
  </si>
  <si>
    <t>15</t>
  </si>
  <si>
    <t>Двухкомпонентная резина GPSpraykote</t>
  </si>
  <si>
    <t>16</t>
  </si>
  <si>
    <t>2-ой компонент для напыления системы покрытий жидкой резины GPSpraykote</t>
  </si>
  <si>
    <t>л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</si>
  <si>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</si>
  <si>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</si>
  <si>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</si>
  <si>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</si>
  <si>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</si>
  <si>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</si>
  <si>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</si>
  <si>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</si>
  <si>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</si>
  <si>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</si>
  <si>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</si>
  <si>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</si>
  <si>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</si>
  <si>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</si>
  <si>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</si>
  <si>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</si>
  <si>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</si>
  <si>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</si>
  <si>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</si>
  <si>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</si>
  <si>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</si>
  <si>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</si>
  <si>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</si>
  <si>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</si>
  <si>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</si>
  <si>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</si>
  <si>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</t>
  </si>
  <si>
    <t>Итого</t>
  </si>
  <si>
    <t>Итого по разделу</t>
  </si>
  <si>
    <t>НДС</t>
  </si>
  <si>
    <t>НДС 18%</t>
  </si>
  <si>
    <t>Итог с НДС</t>
  </si>
  <si>
    <t>ВСЕГО с НДС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</si>
  <si>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</si>
  <si>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</si>
  <si>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</si>
  <si>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</si>
  <si>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</si>
  <si>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</si>
  <si>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</si>
  <si>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</si>
  <si>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</si>
  <si>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</si>
  <si>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</si>
  <si>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</si>
  <si>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</si>
  <si>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</si>
  <si>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</si>
  <si>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</si>
  <si>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</si>
  <si>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</si>
  <si>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</si>
  <si>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</si>
  <si>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</si>
  <si>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</si>
  <si>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</si>
  <si>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</si>
  <si>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</si>
  <si>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</si>
  <si>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</si>
  <si>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</si>
  <si>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</si>
  <si>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</si>
  <si>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ТиМ</t>
  </si>
  <si>
    <t>Тонели и метрополитены обслуживающие процессы</t>
  </si>
  <si>
    <t>к=1, если закрытый способ; к=0, если открытый способ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</si>
  <si>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</si>
  <si>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</si>
  <si>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</si>
  <si>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</si>
  <si>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</si>
  <si>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</si>
  <si>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</si>
  <si>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</si>
  <si>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</si>
  <si>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</si>
  <si>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</si>
  <si>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</si>
  <si>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</si>
  <si>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</si>
  <si>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</si>
  <si>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1-1041-90</t>
  </si>
  <si>
    <t>Рабочий строитель среднего разряда 4,1</t>
  </si>
  <si>
    <t>чел.-ч</t>
  </si>
  <si>
    <t>Затраты труда машинистов</t>
  </si>
  <si>
    <t>чел.час</t>
  </si>
  <si>
    <t>020129</t>
  </si>
  <si>
    <t>ТСНБ-2001 Московская обл распоряжение № 51от 06.09.2011г. 020129</t>
  </si>
  <si>
    <t>Краны башенные при работе на других видах строительства 8 т</t>
  </si>
  <si>
    <t>маш.-ч</t>
  </si>
  <si>
    <t>040502</t>
  </si>
  <si>
    <t>ТСНБ-2001 Московская обл распоряжение № 51от 06.09.2011г. 040502</t>
  </si>
  <si>
    <t>Установки для сварки ручной дуговой (постоянного тока)</t>
  </si>
  <si>
    <t>400001</t>
  </si>
  <si>
    <t>ТСНБ-2001 Московская обл распоряжение № 51от 06.09.2011г. 400001</t>
  </si>
  <si>
    <t>Автомобили бортовые, грузоподъемность до 5 т</t>
  </si>
  <si>
    <t>101-0311</t>
  </si>
  <si>
    <t>ТСНБ-2001 Московская обл 101-0311</t>
  </si>
  <si>
    <t>Каболка</t>
  </si>
  <si>
    <t>101-1355</t>
  </si>
  <si>
    <t>ТСНБ-2001 Московская обл 101-1355</t>
  </si>
  <si>
    <t>Цемент гипсоглиноземистый расширяющийся</t>
  </si>
  <si>
    <t>101-1522</t>
  </si>
  <si>
    <t>ТСНБ-2001 Московская обл 101-1522</t>
  </si>
  <si>
    <t>Электроды диаметром 5 мм Э42А</t>
  </si>
  <si>
    <t>301-3302</t>
  </si>
  <si>
    <t>ТСНБ-2001 Московская обл распоряжение № 51от 06.09.2011г. 301-3302</t>
  </si>
  <si>
    <t>Воронка водосточная диаметром 100 мм</t>
  </si>
  <si>
    <t>1-1033-90</t>
  </si>
  <si>
    <t>Рабочий строитель среднего разряда 3,3</t>
  </si>
  <si>
    <t>030401</t>
  </si>
  <si>
    <t>ТСНБ-2001 Московская обл распоряжение № 51от 06.09.2011г. 030401</t>
  </si>
  <si>
    <t>Лебедки электрические тяговым усилием до 5,79 кН (0,59 т)</t>
  </si>
  <si>
    <t>050101</t>
  </si>
  <si>
    <t>ТСНБ-2001 Московская обл распоряжение № 51от 06.09.2011г. 050101</t>
  </si>
  <si>
    <t>Компрессоры передвижные с двигателем внутреннего сгорания давлением до 686 кПа (7 ат), производительность 2,2 м3/мин</t>
  </si>
  <si>
    <t>330804</t>
  </si>
  <si>
    <t>ТСНБ-2001 Московская обл распоряжение № 51от 06.09.2011г. 330804</t>
  </si>
  <si>
    <t>Молотки при работе от передвижных компрессорных станций отбойные пневматические</t>
  </si>
  <si>
    <t>101-1305</t>
  </si>
  <si>
    <t>ТСНБ-2001 Московская обл 101-1305</t>
  </si>
  <si>
    <t>Портландцемент общестроительного назначения бездобавочный марки 400</t>
  </si>
  <si>
    <t>509-9900</t>
  </si>
  <si>
    <t>ТСНБ-2001 Московская обл распоряжение №51 от 06.09.2011г. 509-9900</t>
  </si>
  <si>
    <t>Строительный мусор</t>
  </si>
  <si>
    <t>1-1020-90</t>
  </si>
  <si>
    <t>Рабочий строитель среднего разряда 2</t>
  </si>
  <si>
    <t>1-1036-90</t>
  </si>
  <si>
    <t>Рабочий строитель среднего разряда 3,6</t>
  </si>
  <si>
    <t>021141</t>
  </si>
  <si>
    <t>ТСНБ-2001 Московская обл распоряжение № 51от 06.09.2011г. 021141</t>
  </si>
  <si>
    <t>Краны на автомобильном ходу при работе на других видах строительства 10 т</t>
  </si>
  <si>
    <t>121011</t>
  </si>
  <si>
    <t>ТСНБ-2001 Московская обл распоряжение № 51от 06.09.2011г. 121011</t>
  </si>
  <si>
    <t>Котлы битумные передвижные 400 л</t>
  </si>
  <si>
    <t>101-0594</t>
  </si>
  <si>
    <t>ТСНБ-2001 Московская обл 101-0594</t>
  </si>
  <si>
    <t>Мастика битумная кровельная горячая</t>
  </si>
  <si>
    <t>101-9123</t>
  </si>
  <si>
    <t>ТСНБ-2001 Московская обл 101-9123</t>
  </si>
  <si>
    <t>Материалы рулонные кровельные</t>
  </si>
  <si>
    <t>м2</t>
  </si>
  <si>
    <t>1-1038-90</t>
  </si>
  <si>
    <t>Рабочий строитель среднего разряда 3,8</t>
  </si>
  <si>
    <t>150401</t>
  </si>
  <si>
    <t>ТСНБ-2001 Московская обл распоряжение № 51от 06.09.2011г. 150401</t>
  </si>
  <si>
    <t>Горелки газопламенные</t>
  </si>
  <si>
    <t>101-2278</t>
  </si>
  <si>
    <t>ТСНБ-2001 Московская обл 101-2278</t>
  </si>
  <si>
    <t>Пропан-бутан, смесь техническая</t>
  </si>
  <si>
    <t>101-9121</t>
  </si>
  <si>
    <t>ТСНБ-2001 Московская обл 101-9121</t>
  </si>
  <si>
    <t>Материалы рулонные кровельные для верхнего слоя</t>
  </si>
  <si>
    <t>101-9122</t>
  </si>
  <si>
    <t>ТСНБ-2001 Московская обл 101-9122</t>
  </si>
  <si>
    <t>Материалы рулонные кровельные для нижних слоев</t>
  </si>
  <si>
    <t>1-1032-90</t>
  </si>
  <si>
    <t>Рабочий строитель среднего разряда 3,2</t>
  </si>
  <si>
    <t>101-0856</t>
  </si>
  <si>
    <t>ТСНБ-2001 Московская обл 101-0856</t>
  </si>
  <si>
    <t>Рубероид кровельный с пылевидной посыпкой марки РКП-350б</t>
  </si>
  <si>
    <t>1-1042-90</t>
  </si>
  <si>
    <t>Рабочий строитель среднего разряда 4,2</t>
  </si>
  <si>
    <t>050401</t>
  </si>
  <si>
    <t>ТСНБ-2001 Московская обл распоряжение № 51от 06.09.2011г. 050401</t>
  </si>
  <si>
    <t>Компрессоры передвижные с электродвигателем давлением 600 кПа (6 ат), производительность 0,5 м3/мин</t>
  </si>
  <si>
    <t>332141</t>
  </si>
  <si>
    <t>ТСНБ-2001 Московская обл распоряжение № 51от 06.09.2011г. 332141</t>
  </si>
  <si>
    <t>Установки для заливки пенополиуретана</t>
  </si>
  <si>
    <t>101-1986</t>
  </si>
  <si>
    <t>ТСНБ-2001 Московская обл 101-1986</t>
  </si>
  <si>
    <t>Проволока стальная низкоуглеродистая общего назначения диаметром 0,8 мм</t>
  </si>
  <si>
    <t>101-3594</t>
  </si>
  <si>
    <t>ТСНБ-2001 Московская обл 101-3594</t>
  </si>
  <si>
    <t>104-0126</t>
  </si>
  <si>
    <t>ТСНБ-2001 Московская обл 104-0126</t>
  </si>
  <si>
    <t>Диоктилфталат</t>
  </si>
  <si>
    <t>104-0127</t>
  </si>
  <si>
    <t>ТСНБ-2001 Московская обл 104-0127</t>
  </si>
  <si>
    <t>Хлорметилен</t>
  </si>
  <si>
    <t>104-0133</t>
  </si>
  <si>
    <t>ТСНБ-2001 Московская обл 104-0133</t>
  </si>
  <si>
    <t>Компонент А системы жидких компонентов для напыления ППУ</t>
  </si>
  <si>
    <t>104-0134</t>
  </si>
  <si>
    <t>ТСНБ-2001 Московская обл 104-0134</t>
  </si>
  <si>
    <t>Компонент Б системы жидких компонентов для напыления ППУ</t>
  </si>
  <si>
    <t>"СОГЛАСОВАНО"</t>
  </si>
  <si>
    <t>"УТВЕРЖДАЮ"</t>
  </si>
  <si>
    <t>"_____"________________200___ г.</t>
  </si>
  <si>
    <t>(Наименование стройки)</t>
  </si>
  <si>
    <t>базовая цена</t>
  </si>
  <si>
    <t>текущая цена</t>
  </si>
  <si>
    <t>Сметная стоимость</t>
  </si>
  <si>
    <t>тыс.руб</t>
  </si>
  <si>
    <t>Нормативная трудоемкость</t>
  </si>
  <si>
    <t>Средства на оплату труда</t>
  </si>
  <si>
    <t>Составлен(а) в ценах Май 2013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</si>
  <si>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</si>
  <si>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</si>
  <si>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</si>
  <si>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</si>
  <si>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</si>
  <si>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</si>
  <si>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</si>
  <si>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</si>
  <si>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</si>
  <si>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</si>
  <si>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</si>
  <si>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</si>
  <si>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</si>
  <si>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</si>
  <si>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</si>
  <si>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</si>
  <si>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</si>
  <si>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</si>
  <si>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</si>
  <si>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</si>
  <si>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</si>
  <si>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</si>
  <si>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</si>
  <si>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</si>
  <si>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</si>
  <si>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</si>
  <si>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</si>
  <si>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</si>
  <si>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</si>
  <si>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</si>
  <si>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</si>
  <si>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</si>
  <si>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</si>
  <si>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</si>
  <si>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</si>
  <si>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Раздел  </t>
  </si>
  <si>
    <t xml:space="preserve">Подраздел  </t>
  </si>
  <si>
    <t>Зарплата</t>
  </si>
  <si>
    <t>в т.ч. зарплата машинистов</t>
  </si>
  <si>
    <t>Накладные расходы от ФОТ</t>
  </si>
  <si>
    <t>%</t>
  </si>
  <si>
    <t>Затраты труда</t>
  </si>
  <si>
    <t>чел-ч</t>
  </si>
  <si>
    <t>Материальные ресурсы</t>
  </si>
  <si>
    <t>Итого по объекту</t>
  </si>
  <si>
    <t>ИСПОЛНИЛ</t>
  </si>
  <si>
    <t>[должность,подпись(инициалы,фамилия)]</t>
  </si>
  <si>
    <t>ПРОВЕРИЛ</t>
  </si>
  <si>
    <t>Демонтаж воронок водосточных</t>
  </si>
  <si>
    <t>ЛОКАЛЬНАЯ СМЕТА №1.</t>
  </si>
  <si>
    <t>г.Ковров кровельное покрытие</t>
  </si>
  <si>
    <t>www.osmeta.ru Разработка сметной документации +7 906 771 8949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</si>
</sst>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2" fontId="16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tabSelected="1" view="pageBreakPreview" zoomScaleNormal="158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1.421875" style="0" bestFit="1" customWidth="1"/>
    <col min="7" max="7" width="11.28125" style="0" customWidth="1"/>
    <col min="8" max="8" width="14.7109375" style="0" bestFit="1" customWidth="1"/>
    <col min="10" max="10" width="10.140625" style="0" customWidth="1"/>
    <col min="11" max="11" width="14.57421875" style="0" customWidth="1"/>
    <col min="12" max="12" width="10.7109375" style="0" customWidth="1"/>
    <col min="13" max="25" width="0" style="0" hidden="1" customWidth="1"/>
    <col min="30" max="30" width="87.421875" style="0" hidden="1" customWidth="1"/>
    <col min="31" max="31" width="0" style="0" hidden="1" customWidth="1"/>
  </cols>
  <sheetData>
    <row r="1" s="5" customFormat="1" ht="11.25">
      <c r="A1" s="5" t="s">
        <v>367</v>
      </c>
    </row>
    <row r="3" spans="1:9" s="6" customFormat="1" ht="15">
      <c r="A3" s="6" t="s">
        <v>305</v>
      </c>
      <c r="F3" s="71" t="s">
        <v>306</v>
      </c>
      <c r="G3" s="71"/>
      <c r="H3" s="71"/>
      <c r="I3" s="71"/>
    </row>
    <row r="5" spans="1:11" ht="12.75">
      <c r="A5" s="72"/>
      <c r="B5" s="72"/>
      <c r="C5" s="72"/>
      <c r="D5" s="72"/>
      <c r="E5" s="7"/>
      <c r="F5" s="72"/>
      <c r="G5" s="72"/>
      <c r="H5" s="72"/>
      <c r="I5" s="72"/>
      <c r="J5" s="72"/>
      <c r="K5" s="72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72"/>
      <c r="D7" s="72"/>
      <c r="E7" s="7"/>
      <c r="F7" s="8"/>
      <c r="G7" s="8"/>
      <c r="H7" s="72"/>
      <c r="I7" s="72"/>
      <c r="J7" s="72"/>
      <c r="K7" s="72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307</v>
      </c>
      <c r="F9" s="6" t="s">
        <v>307</v>
      </c>
    </row>
    <row r="11" spans="1:30" ht="20.25">
      <c r="A11" s="65" t="str">
        <f>IF(Source!G4&lt;&gt;"",Source!G4,IF(Source!F4&lt;&gt;"",Source!F4,IF(Source!G5&lt;&gt;"",Source!G5,IF(Source!F5&lt;&gt;"",Source!F5,IF(Source!G6&lt;&gt;"",Source!G6,IF(Source!F6&lt;&gt;"",Source!F6," "))))))</f>
        <v> 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AD11" s="10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2" spans="1:12" ht="12.75">
      <c r="A12" s="66" t="s">
        <v>308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4" spans="1:30" ht="20.25">
      <c r="A14" s="68" t="s">
        <v>365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AD14" s="11" t="str">
        <f>CONCATENATE("ЛОКАЛЬНАЯ СМЕТА №  ",Source!F20)</f>
        <v>ЛОКАЛЬНАЯ СМЕТА №  Новая локальная смета</v>
      </c>
    </row>
    <row r="16" spans="2:30" ht="18.75">
      <c r="B16" s="69" t="s">
        <v>366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AD16" s="12" t="str">
        <f>Source!G20</f>
        <v>Ковров</v>
      </c>
    </row>
    <row r="18" spans="5:10" ht="12.75">
      <c r="E18" s="4"/>
      <c r="F18" s="4"/>
      <c r="G18" s="4"/>
      <c r="H18" s="4"/>
      <c r="I18" s="4"/>
      <c r="J18" s="4"/>
    </row>
    <row r="19" spans="5:10" ht="12.75">
      <c r="E19" s="14"/>
      <c r="F19" s="14"/>
      <c r="G19" s="64" t="s">
        <v>309</v>
      </c>
      <c r="H19" s="64"/>
      <c r="I19" s="64" t="s">
        <v>310</v>
      </c>
      <c r="J19" s="64"/>
    </row>
    <row r="20" spans="3:12" ht="15.75">
      <c r="C20" s="61" t="s">
        <v>311</v>
      </c>
      <c r="D20" s="61"/>
      <c r="E20" s="61"/>
      <c r="F20" s="61"/>
      <c r="G20" s="62">
        <f>(G128)/1000</f>
        <v>6062.989670000001</v>
      </c>
      <c r="H20" s="62"/>
      <c r="I20" s="62">
        <f>(Source!F102/1000)</f>
        <v>8498.68325</v>
      </c>
      <c r="J20" s="62"/>
      <c r="K20" s="63" t="s">
        <v>312</v>
      </c>
      <c r="L20" s="63"/>
    </row>
    <row r="21" spans="3:12" ht="15.75">
      <c r="C21" s="61" t="s">
        <v>313</v>
      </c>
      <c r="D21" s="61"/>
      <c r="E21" s="61"/>
      <c r="F21" s="61"/>
      <c r="G21" s="62">
        <f>(Source!F95)</f>
        <v>4029.34</v>
      </c>
      <c r="H21" s="62"/>
      <c r="I21" s="62">
        <f>(Source!F95)</f>
        <v>4029.34</v>
      </c>
      <c r="J21" s="62"/>
      <c r="K21" s="63" t="s">
        <v>202</v>
      </c>
      <c r="L21" s="63"/>
    </row>
    <row r="22" spans="3:12" ht="15.75">
      <c r="C22" s="61" t="s">
        <v>314</v>
      </c>
      <c r="D22" s="61"/>
      <c r="E22" s="61"/>
      <c r="F22" s="61"/>
      <c r="G22" s="62">
        <f>(N135+W135)/1000</f>
        <v>25.98624</v>
      </c>
      <c r="H22" s="62"/>
      <c r="I22" s="62">
        <f>((Source!F93+Source!F92)/1000)</f>
        <v>477.10731</v>
      </c>
      <c r="J22" s="62"/>
      <c r="K22" s="63" t="s">
        <v>312</v>
      </c>
      <c r="L22" s="63"/>
    </row>
    <row r="24" spans="1:6" ht="12.75">
      <c r="A24" s="56" t="s">
        <v>315</v>
      </c>
      <c r="B24" s="56"/>
      <c r="C24" s="56"/>
      <c r="D24" s="4"/>
      <c r="E24" s="4"/>
      <c r="F24" s="4"/>
    </row>
    <row r="25" spans="1:12" ht="15">
      <c r="A25" s="17"/>
      <c r="B25" s="17"/>
      <c r="C25" s="17"/>
      <c r="D25" s="17"/>
      <c r="E25" s="17"/>
      <c r="F25" s="18" t="s">
        <v>328</v>
      </c>
      <c r="G25" s="18" t="s">
        <v>332</v>
      </c>
      <c r="H25" s="18" t="s">
        <v>336</v>
      </c>
      <c r="I25" s="18" t="s">
        <v>340</v>
      </c>
      <c r="J25" s="18" t="s">
        <v>344</v>
      </c>
      <c r="K25" s="18" t="s">
        <v>336</v>
      </c>
      <c r="L25" s="19" t="s">
        <v>348</v>
      </c>
    </row>
    <row r="26" spans="1:12" ht="15">
      <c r="A26" s="20" t="s">
        <v>316</v>
      </c>
      <c r="B26" s="20" t="s">
        <v>318</v>
      </c>
      <c r="C26" s="21"/>
      <c r="D26" s="20" t="s">
        <v>323</v>
      </c>
      <c r="E26" s="20" t="s">
        <v>326</v>
      </c>
      <c r="F26" s="20" t="s">
        <v>329</v>
      </c>
      <c r="G26" s="20" t="s">
        <v>333</v>
      </c>
      <c r="H26" s="20" t="s">
        <v>337</v>
      </c>
      <c r="I26" s="20" t="s">
        <v>341</v>
      </c>
      <c r="J26" s="20" t="s">
        <v>335</v>
      </c>
      <c r="K26" s="20" t="s">
        <v>345</v>
      </c>
      <c r="L26" s="22" t="s">
        <v>349</v>
      </c>
    </row>
    <row r="27" spans="1:12" ht="15">
      <c r="A27" s="20" t="s">
        <v>317</v>
      </c>
      <c r="B27" s="20" t="s">
        <v>319</v>
      </c>
      <c r="C27" s="20" t="s">
        <v>322</v>
      </c>
      <c r="D27" s="20" t="s">
        <v>324</v>
      </c>
      <c r="E27" s="20" t="s">
        <v>327</v>
      </c>
      <c r="F27" s="20" t="s">
        <v>330</v>
      </c>
      <c r="G27" s="20" t="s">
        <v>334</v>
      </c>
      <c r="H27" s="20" t="s">
        <v>338</v>
      </c>
      <c r="I27" s="20" t="s">
        <v>342</v>
      </c>
      <c r="J27" s="20" t="s">
        <v>342</v>
      </c>
      <c r="K27" s="20" t="s">
        <v>346</v>
      </c>
      <c r="L27" s="22" t="s">
        <v>350</v>
      </c>
    </row>
    <row r="28" spans="1:12" ht="15">
      <c r="A28" s="21"/>
      <c r="B28" s="20" t="s">
        <v>320</v>
      </c>
      <c r="C28" s="21"/>
      <c r="D28" s="20" t="s">
        <v>325</v>
      </c>
      <c r="E28" s="21"/>
      <c r="F28" s="20" t="s">
        <v>331</v>
      </c>
      <c r="G28" s="20" t="s">
        <v>335</v>
      </c>
      <c r="H28" s="20" t="s">
        <v>339</v>
      </c>
      <c r="I28" s="20" t="s">
        <v>343</v>
      </c>
      <c r="J28" s="20" t="s">
        <v>343</v>
      </c>
      <c r="K28" s="20" t="s">
        <v>347</v>
      </c>
      <c r="L28" s="22"/>
    </row>
    <row r="29" spans="1:12" ht="15">
      <c r="A29" s="21"/>
      <c r="B29" s="20" t="s">
        <v>321</v>
      </c>
      <c r="C29" s="21"/>
      <c r="D29" s="21"/>
      <c r="E29" s="21"/>
      <c r="F29" s="21"/>
      <c r="G29" s="20"/>
      <c r="H29" s="20"/>
      <c r="I29" s="20"/>
      <c r="J29" s="20"/>
      <c r="K29" s="20"/>
      <c r="L29" s="22"/>
    </row>
    <row r="30" spans="1:12" ht="15">
      <c r="A30" s="23">
        <v>1</v>
      </c>
      <c r="B30" s="23">
        <v>2</v>
      </c>
      <c r="C30" s="23">
        <v>3</v>
      </c>
      <c r="D30" s="23">
        <v>4</v>
      </c>
      <c r="E30" s="23">
        <v>5</v>
      </c>
      <c r="F30" s="23">
        <v>6</v>
      </c>
      <c r="G30" s="23">
        <v>7</v>
      </c>
      <c r="H30" s="23">
        <v>8</v>
      </c>
      <c r="I30" s="23">
        <v>9</v>
      </c>
      <c r="J30" s="23">
        <v>10</v>
      </c>
      <c r="K30" s="23">
        <v>11</v>
      </c>
      <c r="L30" s="24">
        <v>12</v>
      </c>
    </row>
    <row r="31" spans="3:30" ht="18">
      <c r="C31" s="25" t="s">
        <v>351</v>
      </c>
      <c r="D31" s="57" t="str">
        <f>IF(Source!C12="1",Source!F24,Source!G24)</f>
        <v>Ковров</v>
      </c>
      <c r="E31" s="58"/>
      <c r="F31" s="58"/>
      <c r="G31" s="58"/>
      <c r="H31" s="58"/>
      <c r="I31" s="58"/>
      <c r="J31" s="58"/>
      <c r="K31" s="58"/>
      <c r="L31" s="58"/>
      <c r="AD31" s="26" t="str">
        <f>IF(Source!C12="1",Source!F24,Source!G24)</f>
        <v>Ковров</v>
      </c>
    </row>
    <row r="33" spans="3:30" ht="18">
      <c r="C33" s="25" t="s">
        <v>352</v>
      </c>
      <c r="D33" s="54" t="str">
        <f>IF(Source!C12="1",Source!F28,Source!G28)</f>
        <v>Строительные работы</v>
      </c>
      <c r="E33" s="59"/>
      <c r="F33" s="59"/>
      <c r="G33" s="59"/>
      <c r="H33" s="59"/>
      <c r="I33" s="59"/>
      <c r="J33" s="59"/>
      <c r="K33" s="59"/>
      <c r="L33" s="59"/>
      <c r="AD33" s="27" t="str">
        <f>IF(Source!C12="1",Source!F28,Source!G28)</f>
        <v>Строительные работы</v>
      </c>
    </row>
    <row r="35" spans="1:12" ht="30">
      <c r="A35" s="28" t="str">
        <f>Source!E32</f>
        <v>1</v>
      </c>
      <c r="B35" s="28" t="str">
        <f>Source!F32</f>
        <v>16-07-002-1</v>
      </c>
      <c r="C35" s="29" t="s">
        <v>364</v>
      </c>
      <c r="D35" s="30" t="str">
        <f>Source!H32</f>
        <v>шт.</v>
      </c>
      <c r="E35" s="13">
        <f>ROUND(Source!I32,6)</f>
        <v>6</v>
      </c>
      <c r="F35" s="15">
        <f>IF(Source!AK32&lt;&gt;0,Source!AK32,Source!AL32+Source!AM32+Source!AO32)</f>
        <v>391.46</v>
      </c>
      <c r="G35" s="13"/>
      <c r="H35" s="13"/>
      <c r="I35" s="31" t="str">
        <f>IF(Source!BO32&lt;&gt;"",Source!BO32,"")</f>
        <v>16-07-002-1</v>
      </c>
      <c r="J35" s="13"/>
      <c r="K35" s="13"/>
      <c r="L35" s="13"/>
    </row>
    <row r="36" spans="1:12" ht="15">
      <c r="A36" s="13"/>
      <c r="B36" s="13"/>
      <c r="C36" s="13" t="s">
        <v>353</v>
      </c>
      <c r="D36" s="13"/>
      <c r="E36" s="13"/>
      <c r="F36" s="15">
        <f>Source!AO32</f>
        <v>28.69</v>
      </c>
      <c r="G36" s="31" t="str">
        <f>Source!DG32</f>
        <v>*0,4</v>
      </c>
      <c r="H36" s="15">
        <f>ROUND((Source!CT32/IF(Source!BA32&lt;&gt;0,Source!BA32,1)*Source!I32),2)</f>
        <v>68.86</v>
      </c>
      <c r="I36" s="13"/>
      <c r="J36" s="13">
        <f>Source!BA32</f>
        <v>18.36</v>
      </c>
      <c r="K36" s="15">
        <f>Source!S32</f>
        <v>1264.2</v>
      </c>
      <c r="L36" s="13"/>
    </row>
    <row r="37" spans="1:12" ht="15">
      <c r="A37" s="13"/>
      <c r="B37" s="13"/>
      <c r="C37" s="13" t="s">
        <v>128</v>
      </c>
      <c r="D37" s="13"/>
      <c r="E37" s="13"/>
      <c r="F37" s="15">
        <f>Source!AM32</f>
        <v>14.7</v>
      </c>
      <c r="G37" s="31" t="str">
        <f>Source!DE32</f>
        <v>*0,4</v>
      </c>
      <c r="H37" s="15">
        <f>ROUND((Source!CR32/IF(Source!BB32&lt;&gt;0,Source!BB32,1)*Source!I32),2)</f>
        <v>35.28</v>
      </c>
      <c r="I37" s="13"/>
      <c r="J37" s="13">
        <f>Source!BB32</f>
        <v>5.93</v>
      </c>
      <c r="K37" s="15">
        <f>Source!Q32</f>
        <v>209.21</v>
      </c>
      <c r="L37" s="13"/>
    </row>
    <row r="38" spans="1:12" ht="15">
      <c r="A38" s="13"/>
      <c r="B38" s="13"/>
      <c r="C38" s="13" t="s">
        <v>354</v>
      </c>
      <c r="D38" s="13"/>
      <c r="E38" s="13"/>
      <c r="F38" s="15">
        <f>Source!AN32</f>
        <v>0.14</v>
      </c>
      <c r="G38" s="31" t="str">
        <f>Source!DF32</f>
        <v>*0,4</v>
      </c>
      <c r="H38" s="33">
        <f>ROUND((Source!CS32/IF(Source!BS32&lt;&gt;0,Source!BS32,1)*Source!I32),2)</f>
        <v>0.34</v>
      </c>
      <c r="I38" s="13"/>
      <c r="J38" s="13">
        <f>Source!BS32</f>
        <v>18.36</v>
      </c>
      <c r="K38" s="33">
        <f>Source!R32</f>
        <v>6.17</v>
      </c>
      <c r="L38" s="13"/>
    </row>
    <row r="39" spans="1:24" ht="15">
      <c r="A39" s="13"/>
      <c r="B39" s="13"/>
      <c r="C39" s="13" t="s">
        <v>355</v>
      </c>
      <c r="D39" s="16" t="s">
        <v>356</v>
      </c>
      <c r="E39" s="13"/>
      <c r="F39" s="15">
        <f>Source!BZ32</f>
        <v>128</v>
      </c>
      <c r="G39" s="13"/>
      <c r="H39" s="15">
        <f>X39</f>
        <v>88.58</v>
      </c>
      <c r="I39" s="13" t="str">
        <f>Source!FV32</f>
        <v>((*0.85))</v>
      </c>
      <c r="J39" s="15">
        <f>Source!AT32</f>
        <v>109</v>
      </c>
      <c r="K39" s="15">
        <f>Source!X32</f>
        <v>1384.7</v>
      </c>
      <c r="L39" s="13"/>
      <c r="X39">
        <f>ROUND((Source!FX32/100)*(ROUND((Source!CT32/IF(Source!BA32&lt;&gt;0,Source!BA32,1)*Source!I32),2)+ROUND((Source!CS32/IF(Source!BS32&lt;&gt;0,Source!BS32,1)*Source!I32),2)),2)</f>
        <v>88.58</v>
      </c>
    </row>
    <row r="40" spans="1:25" ht="15">
      <c r="A40" s="13"/>
      <c r="B40" s="13"/>
      <c r="C40" s="13" t="s">
        <v>144</v>
      </c>
      <c r="D40" s="16" t="s">
        <v>356</v>
      </c>
      <c r="E40" s="13"/>
      <c r="F40" s="15">
        <f>Source!CA32</f>
        <v>83</v>
      </c>
      <c r="G40" s="13"/>
      <c r="H40" s="15">
        <f>Y40</f>
        <v>57.44</v>
      </c>
      <c r="I40" s="13" t="str">
        <f>Source!FW32</f>
        <v>((*0.8))</v>
      </c>
      <c r="J40" s="15">
        <f>Source!AU32</f>
        <v>66</v>
      </c>
      <c r="K40" s="15">
        <f>Source!Y32</f>
        <v>838.44</v>
      </c>
      <c r="L40" s="13"/>
      <c r="Y40">
        <f>ROUND((Source!FY32/100)*(ROUND((Source!CT32/IF(Source!BA32&lt;&gt;0,Source!BA32,1)*Source!I32),2)+ROUND((Source!CS32/IF(Source!BS32&lt;&gt;0,Source!BS32,1)*Source!I32),2)),2)</f>
        <v>57.44</v>
      </c>
    </row>
    <row r="41" spans="1:12" ht="15">
      <c r="A41" s="34"/>
      <c r="B41" s="34"/>
      <c r="C41" s="34" t="s">
        <v>357</v>
      </c>
      <c r="D41" s="35" t="s">
        <v>358</v>
      </c>
      <c r="E41" s="34">
        <f>Source!AQ32</f>
        <v>2.94</v>
      </c>
      <c r="F41" s="34"/>
      <c r="G41" s="36" t="str">
        <f>Source!DI32</f>
        <v>*0,4</v>
      </c>
      <c r="H41" s="34"/>
      <c r="I41" s="34"/>
      <c r="J41" s="34"/>
      <c r="K41" s="34"/>
      <c r="L41" s="37">
        <f>Source!U32</f>
        <v>7.055999999999999</v>
      </c>
    </row>
    <row r="42" spans="1:23" ht="15.75">
      <c r="A42" s="13"/>
      <c r="B42" s="13"/>
      <c r="C42" s="13"/>
      <c r="D42" s="13"/>
      <c r="E42" s="13"/>
      <c r="F42" s="13"/>
      <c r="G42" s="13"/>
      <c r="H42" s="38">
        <f>ROUND((Source!CT32/IF(Source!BA32&lt;&gt;0,Source!BA32,1)*Source!I32),2)+ROUND((Source!CR32/IF(Source!BB32&lt;&gt;0,Source!BB32,1)*Source!I32),2)+ROUND((Source!CQ32/IF(Source!BC32&lt;&gt;0,Source!BC32,1)*Source!I32),2)+H39+H40</f>
        <v>250.16</v>
      </c>
      <c r="I42" s="39"/>
      <c r="J42" s="39"/>
      <c r="K42" s="38">
        <f>Source!O32+K39+K40</f>
        <v>3696.55</v>
      </c>
      <c r="L42" s="38">
        <f>Source!U32</f>
        <v>7.055999999999999</v>
      </c>
      <c r="M42" s="32">
        <f>H42</f>
        <v>250.16</v>
      </c>
      <c r="N42">
        <f>ROUND((Source!CT32/IF(Source!BA32&lt;&gt;0,Source!BA32,1)*Source!I32),2)</f>
        <v>68.86</v>
      </c>
      <c r="O42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250.13112000000004</v>
      </c>
      <c r="P42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42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42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S42">
        <f>IF(Source!BI32=1,Source!O32+Source!X32+Source!Y32,0)</f>
        <v>3696.55</v>
      </c>
      <c r="T42">
        <f>IF(Source!BI32=2,Source!O32+Source!X32+Source!Y32,0)</f>
        <v>0</v>
      </c>
      <c r="U42">
        <f>IF(Source!BI32=3,Source!O32+Source!X32+Source!Y32,0)</f>
        <v>0</v>
      </c>
      <c r="V42">
        <f>IF(Source!BI32=4,Source!O32+Source!X32+Source!Y32,0)</f>
        <v>0</v>
      </c>
      <c r="W42">
        <f>ROUND((Source!CS32/IF(Source!BS32&lt;&gt;0,Source!BS32,1)*Source!I32),2)</f>
        <v>0.34</v>
      </c>
    </row>
    <row r="43" spans="1:12" ht="30">
      <c r="A43" s="28" t="str">
        <f>Source!E33</f>
        <v>2</v>
      </c>
      <c r="B43" s="28" t="str">
        <f>Source!F33</f>
        <v>16-07-002-1</v>
      </c>
      <c r="C43" s="29" t="str">
        <f>Source!G33</f>
        <v>Установка воронок водосточных</v>
      </c>
      <c r="D43" s="30" t="str">
        <f>Source!H33</f>
        <v>шт.</v>
      </c>
      <c r="E43" s="13">
        <f>ROUND(Source!I33,6)</f>
        <v>6</v>
      </c>
      <c r="F43" s="15">
        <f>IF(Source!AK33&lt;&gt;0,Source!AK33,Source!AL33+Source!AM33+Source!AO33)</f>
        <v>391.46</v>
      </c>
      <c r="G43" s="13"/>
      <c r="H43" s="13"/>
      <c r="I43" s="31" t="str">
        <f>IF(Source!BO33&lt;&gt;"",Source!BO33,"")</f>
        <v>16-07-002-1</v>
      </c>
      <c r="J43" s="13"/>
      <c r="K43" s="13"/>
      <c r="L43" s="13"/>
    </row>
    <row r="44" spans="1:12" ht="15">
      <c r="A44" s="13"/>
      <c r="B44" s="13"/>
      <c r="C44" s="13" t="s">
        <v>353</v>
      </c>
      <c r="D44" s="13"/>
      <c r="E44" s="13"/>
      <c r="F44" s="15">
        <f>Source!AO33</f>
        <v>28.69</v>
      </c>
      <c r="G44" s="31">
        <f>Source!DG33</f>
      </c>
      <c r="H44" s="15">
        <f>ROUND((Source!CT33/IF(Source!BA33&lt;&gt;0,Source!BA33,1)*Source!I33),2)</f>
        <v>172.14</v>
      </c>
      <c r="I44" s="13"/>
      <c r="J44" s="13">
        <f>Source!BA33</f>
        <v>18.36</v>
      </c>
      <c r="K44" s="15">
        <f>Source!S33</f>
        <v>3160.49</v>
      </c>
      <c r="L44" s="13"/>
    </row>
    <row r="45" spans="1:12" ht="15">
      <c r="A45" s="13"/>
      <c r="B45" s="13"/>
      <c r="C45" s="13" t="s">
        <v>128</v>
      </c>
      <c r="D45" s="13"/>
      <c r="E45" s="13"/>
      <c r="F45" s="15">
        <f>Source!AM33</f>
        <v>14.7</v>
      </c>
      <c r="G45" s="31">
        <f>Source!DE33</f>
      </c>
      <c r="H45" s="15">
        <f>ROUND((Source!CR33/IF(Source!BB33&lt;&gt;0,Source!BB33,1)*Source!I33),2)</f>
        <v>88.2</v>
      </c>
      <c r="I45" s="13"/>
      <c r="J45" s="13">
        <f>Source!BB33</f>
        <v>5.93</v>
      </c>
      <c r="K45" s="15">
        <f>Source!Q33</f>
        <v>523.03</v>
      </c>
      <c r="L45" s="13"/>
    </row>
    <row r="46" spans="1:12" ht="15">
      <c r="A46" s="13"/>
      <c r="B46" s="13"/>
      <c r="C46" s="13" t="s">
        <v>354</v>
      </c>
      <c r="D46" s="13"/>
      <c r="E46" s="13"/>
      <c r="F46" s="15">
        <f>Source!AN33</f>
        <v>0.14</v>
      </c>
      <c r="G46" s="31">
        <f>Source!DF33</f>
      </c>
      <c r="H46" s="33">
        <f>ROUND((Source!CS33/IF(Source!BS33&lt;&gt;0,Source!BS33,1)*Source!I33),2)</f>
        <v>0.84</v>
      </c>
      <c r="I46" s="13"/>
      <c r="J46" s="13">
        <f>Source!BS33</f>
        <v>18.36</v>
      </c>
      <c r="K46" s="33">
        <f>Source!R33</f>
        <v>15.42</v>
      </c>
      <c r="L46" s="13"/>
    </row>
    <row r="47" spans="1:24" ht="15">
      <c r="A47" s="13"/>
      <c r="B47" s="13"/>
      <c r="C47" s="13" t="s">
        <v>355</v>
      </c>
      <c r="D47" s="16" t="s">
        <v>356</v>
      </c>
      <c r="E47" s="13"/>
      <c r="F47" s="15">
        <f>Source!BZ33</f>
        <v>128</v>
      </c>
      <c r="G47" s="13"/>
      <c r="H47" s="15">
        <f>X47</f>
        <v>221.41</v>
      </c>
      <c r="I47" s="13" t="str">
        <f>Source!FV33</f>
        <v>((*0.85))</v>
      </c>
      <c r="J47" s="15">
        <f>Source!AT33</f>
        <v>109</v>
      </c>
      <c r="K47" s="15">
        <f>Source!X33</f>
        <v>3461.74</v>
      </c>
      <c r="L47" s="13"/>
      <c r="X47">
        <f>ROUND((Source!FX33/100)*(ROUND((Source!CT33/IF(Source!BA33&lt;&gt;0,Source!BA33,1)*Source!I33),2)+ROUND((Source!CS33/IF(Source!BS33&lt;&gt;0,Source!BS33,1)*Source!I33),2)),2)</f>
        <v>221.41</v>
      </c>
    </row>
    <row r="48" spans="1:25" ht="15">
      <c r="A48" s="13"/>
      <c r="B48" s="13"/>
      <c r="C48" s="13" t="s">
        <v>144</v>
      </c>
      <c r="D48" s="16" t="s">
        <v>356</v>
      </c>
      <c r="E48" s="13"/>
      <c r="F48" s="15">
        <f>Source!CA33</f>
        <v>83</v>
      </c>
      <c r="G48" s="13"/>
      <c r="H48" s="15">
        <f>Y48</f>
        <v>143.57</v>
      </c>
      <c r="I48" s="13" t="str">
        <f>Source!FW33</f>
        <v>((*0.8))</v>
      </c>
      <c r="J48" s="15">
        <f>Source!AU33</f>
        <v>66</v>
      </c>
      <c r="K48" s="15">
        <f>Source!Y33</f>
        <v>2096.1</v>
      </c>
      <c r="L48" s="13"/>
      <c r="Y48">
        <f>ROUND((Source!FY33/100)*(ROUND((Source!CT33/IF(Source!BA33&lt;&gt;0,Source!BA33,1)*Source!I33),2)+ROUND((Source!CS33/IF(Source!BS33&lt;&gt;0,Source!BS33,1)*Source!I33),2)),2)</f>
        <v>143.57</v>
      </c>
    </row>
    <row r="49" spans="1:12" ht="15">
      <c r="A49" s="34"/>
      <c r="B49" s="34"/>
      <c r="C49" s="34" t="s">
        <v>357</v>
      </c>
      <c r="D49" s="35" t="s">
        <v>358</v>
      </c>
      <c r="E49" s="34">
        <f>Source!AQ33</f>
        <v>2.94</v>
      </c>
      <c r="F49" s="34"/>
      <c r="G49" s="36">
        <f>Source!DI33</f>
      </c>
      <c r="H49" s="34"/>
      <c r="I49" s="34"/>
      <c r="J49" s="34"/>
      <c r="K49" s="34"/>
      <c r="L49" s="37">
        <f>Source!U33</f>
        <v>17.64</v>
      </c>
    </row>
    <row r="50" spans="1:23" ht="15.75">
      <c r="A50" s="13"/>
      <c r="B50" s="13"/>
      <c r="C50" s="13"/>
      <c r="D50" s="13"/>
      <c r="E50" s="13"/>
      <c r="F50" s="13"/>
      <c r="G50" s="13"/>
      <c r="H50" s="38">
        <f>ROUND((Source!CT33/IF(Source!BA33&lt;&gt;0,Source!BA33,1)*Source!I33),2)+ROUND((Source!CR33/IF(Source!BB33&lt;&gt;0,Source!BB33,1)*Source!I33),2)+ROUND((Source!CQ33/IF(Source!BC33&lt;&gt;0,Source!BC33,1)*Source!I33),2)+H47+H48</f>
        <v>625.3199999999999</v>
      </c>
      <c r="I50" s="39"/>
      <c r="J50" s="39"/>
      <c r="K50" s="38">
        <f>Source!O33+K47+K48</f>
        <v>9241.36</v>
      </c>
      <c r="L50" s="38">
        <f>Source!U33</f>
        <v>17.64</v>
      </c>
      <c r="M50" s="32">
        <f>H50</f>
        <v>625.3199999999999</v>
      </c>
      <c r="N50">
        <f>ROUND((Source!CT33/IF(Source!BA33&lt;&gt;0,Source!BA33,1)*Source!I33),2)</f>
        <v>172.14</v>
      </c>
      <c r="O50">
        <f>IF(Source!BI33=1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625.3278000000001</v>
      </c>
      <c r="P50">
        <f>IF(Source!BI33=2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Q50">
        <f>IF(Source!BI33=3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R50">
        <f>IF(Source!BI33=4,((((Source!CT33/IF(Source!BA33&lt;&gt;0,Source!BA33,1)*Source!I33)+(Source!CR33/IF(Source!BB33&lt;&gt;0,Source!BB33,1)*Source!I33)+(Source!CQ33/IF(Source!BC33&lt;&gt;0,Source!BC33,1)*Source!I33))+((Source!FX33/100)*((Source!CT33/IF(Source!BA33&lt;&gt;0,Source!BA33,1)*Source!I33)+(Source!CS33/IF(Source!BS33&lt;&gt;0,Source!BS33,1)*Source!I33)))+((Source!FY33/100)*((Source!CT33/IF(Source!BA33&lt;&gt;0,Source!BA33,1)*Source!I33)+(Source!CS33/IF(Source!BS33&lt;&gt;0,Source!BS33,1)*Source!I33))))),0)</f>
        <v>0</v>
      </c>
      <c r="S50">
        <f>IF(Source!BI33=1,Source!O33+Source!X33+Source!Y33,0)</f>
        <v>9241.36</v>
      </c>
      <c r="T50">
        <f>IF(Source!BI33=2,Source!O33+Source!X33+Source!Y33,0)</f>
        <v>0</v>
      </c>
      <c r="U50">
        <f>IF(Source!BI33=3,Source!O33+Source!X33+Source!Y33,0)</f>
        <v>0</v>
      </c>
      <c r="V50">
        <f>IF(Source!BI33=4,Source!O33+Source!X33+Source!Y33,0)</f>
        <v>0</v>
      </c>
      <c r="W50">
        <f>ROUND((Source!CS33/IF(Source!BS33&lt;&gt;0,Source!BS33,1)*Source!I33),2)</f>
        <v>0.84</v>
      </c>
    </row>
    <row r="51" spans="1:12" ht="30">
      <c r="A51" s="28" t="str">
        <f>Source!E34</f>
        <v>3</v>
      </c>
      <c r="B51" s="28" t="str">
        <f>Source!F34</f>
        <v>58-16-3</v>
      </c>
      <c r="C51" s="29" t="str">
        <f>Source!G34</f>
        <v>Ремонт цементной стяжки площадью заделки: до 1,0 м2</v>
      </c>
      <c r="D51" s="30" t="str">
        <f>Source!H34</f>
        <v>100 шт.</v>
      </c>
      <c r="E51" s="13">
        <f>ROUND(Source!I34,6)</f>
        <v>8.1</v>
      </c>
      <c r="F51" s="15">
        <f>IF(Source!AK34&lt;&gt;0,Source!AK34,Source!AL34+Source!AM34+Source!AO34)</f>
        <v>1841.8600000000001</v>
      </c>
      <c r="G51" s="13"/>
      <c r="H51" s="13"/>
      <c r="I51" s="31" t="str">
        <f>IF(Source!BO34&lt;&gt;"",Source!BO34,"")</f>
        <v>58-16-3</v>
      </c>
      <c r="J51" s="13"/>
      <c r="K51" s="13"/>
      <c r="L51" s="13"/>
    </row>
    <row r="52" spans="1:12" ht="15">
      <c r="A52" s="13"/>
      <c r="B52" s="13"/>
      <c r="C52" s="13" t="s">
        <v>353</v>
      </c>
      <c r="D52" s="13"/>
      <c r="E52" s="13"/>
      <c r="F52" s="15">
        <f>Source!AO34</f>
        <v>650.91</v>
      </c>
      <c r="G52" s="31">
        <f>Source!DG34</f>
      </c>
      <c r="H52" s="15">
        <f>ROUND((Source!CT34/IF(Source!BA34&lt;&gt;0,Source!BA34,1)*Source!I34),2)</f>
        <v>5272.37</v>
      </c>
      <c r="I52" s="13"/>
      <c r="J52" s="13">
        <f>Source!BA34</f>
        <v>18.36</v>
      </c>
      <c r="K52" s="15">
        <f>Source!S34</f>
        <v>96800.73</v>
      </c>
      <c r="L52" s="13"/>
    </row>
    <row r="53" spans="1:12" ht="15">
      <c r="A53" s="13"/>
      <c r="B53" s="13"/>
      <c r="C53" s="13" t="s">
        <v>128</v>
      </c>
      <c r="D53" s="13"/>
      <c r="E53" s="13"/>
      <c r="F53" s="15">
        <f>Source!AM34</f>
        <v>69.93</v>
      </c>
      <c r="G53" s="31">
        <f>Source!DE34</f>
      </c>
      <c r="H53" s="15">
        <f>ROUND((Source!CR34/IF(Source!BB34&lt;&gt;0,Source!BB34,1)*Source!I34),2)</f>
        <v>566.43</v>
      </c>
      <c r="I53" s="13"/>
      <c r="J53" s="13">
        <f>Source!BB34</f>
        <v>11.33</v>
      </c>
      <c r="K53" s="15">
        <f>Source!Q34</f>
        <v>6417.69</v>
      </c>
      <c r="L53" s="13"/>
    </row>
    <row r="54" spans="1:12" ht="15">
      <c r="A54" s="13"/>
      <c r="B54" s="13"/>
      <c r="C54" s="13" t="s">
        <v>354</v>
      </c>
      <c r="D54" s="13"/>
      <c r="E54" s="13"/>
      <c r="F54" s="15">
        <f>Source!AN34</f>
        <v>13.88</v>
      </c>
      <c r="G54" s="31">
        <f>Source!DF34</f>
      </c>
      <c r="H54" s="33">
        <f>ROUND((Source!CS34/IF(Source!BS34&lt;&gt;0,Source!BS34,1)*Source!I34),2)</f>
        <v>112.43</v>
      </c>
      <c r="I54" s="13"/>
      <c r="J54" s="13">
        <f>Source!BS34</f>
        <v>18.36</v>
      </c>
      <c r="K54" s="33">
        <f>Source!R34</f>
        <v>2064.18</v>
      </c>
      <c r="L54" s="13"/>
    </row>
    <row r="55" spans="1:12" ht="15">
      <c r="A55" s="13"/>
      <c r="B55" s="13"/>
      <c r="C55" s="13" t="s">
        <v>359</v>
      </c>
      <c r="D55" s="13"/>
      <c r="E55" s="13"/>
      <c r="F55" s="15">
        <f>Source!AL34</f>
        <v>1121.02</v>
      </c>
      <c r="G55" s="31">
        <f>Source!DD34</f>
      </c>
      <c r="H55" s="15">
        <f>ROUND((Source!CQ34/IF(Source!BC34&lt;&gt;0,Source!BC34,1)*Source!I34),2)</f>
        <v>9080.26</v>
      </c>
      <c r="I55" s="13"/>
      <c r="J55" s="13">
        <f>Source!BC34</f>
        <v>6.1</v>
      </c>
      <c r="K55" s="15">
        <f>Source!P34</f>
        <v>55389.6</v>
      </c>
      <c r="L55" s="13"/>
    </row>
    <row r="56" spans="1:24" ht="15">
      <c r="A56" s="13"/>
      <c r="B56" s="13"/>
      <c r="C56" s="13" t="s">
        <v>355</v>
      </c>
      <c r="D56" s="16" t="s">
        <v>356</v>
      </c>
      <c r="E56" s="13"/>
      <c r="F56" s="15">
        <f>Source!BZ34</f>
        <v>83</v>
      </c>
      <c r="G56" s="13"/>
      <c r="H56" s="15">
        <f>X56+X59+X60</f>
        <v>4469.38</v>
      </c>
      <c r="I56" s="13" t="str">
        <f>Source!FV34</f>
        <v>((*0.85))</v>
      </c>
      <c r="J56" s="15">
        <f>Source!AT34</f>
        <v>71</v>
      </c>
      <c r="K56" s="15">
        <f>Source!X34+Source!X35+Source!X36</f>
        <v>70194.09</v>
      </c>
      <c r="L56" s="13"/>
      <c r="X56">
        <f>ROUND((Source!FX34/100)*(ROUND((Source!CT34/IF(Source!BA34&lt;&gt;0,Source!BA34,1)*Source!I34),2)+ROUND((Source!CS34/IF(Source!BS34&lt;&gt;0,Source!BS34,1)*Source!I34),2)),2)</f>
        <v>4469.38</v>
      </c>
    </row>
    <row r="57" spans="1:25" ht="15">
      <c r="A57" s="13"/>
      <c r="B57" s="13"/>
      <c r="C57" s="13" t="s">
        <v>144</v>
      </c>
      <c r="D57" s="16" t="s">
        <v>356</v>
      </c>
      <c r="E57" s="13"/>
      <c r="F57" s="15">
        <f>Source!CA34</f>
        <v>65</v>
      </c>
      <c r="G57" s="13"/>
      <c r="H57" s="15">
        <f>Y57+Y59+Y60</f>
        <v>3500.12</v>
      </c>
      <c r="I57" s="13" t="str">
        <f>Source!FW34</f>
        <v>((*0.8))</v>
      </c>
      <c r="J57" s="15">
        <f>Source!AU34</f>
        <v>52</v>
      </c>
      <c r="K57" s="15">
        <f>Source!Y34+Source!Y35+Source!Y36</f>
        <v>51409.75</v>
      </c>
      <c r="L57" s="13"/>
      <c r="Y57">
        <f>ROUND((Source!FY34/100)*(ROUND((Source!CT34/IF(Source!BA34&lt;&gt;0,Source!BA34,1)*Source!I34),2)+ROUND((Source!CS34/IF(Source!BS34&lt;&gt;0,Source!BS34,1)*Source!I34),2)),2)</f>
        <v>3500.12</v>
      </c>
    </row>
    <row r="58" spans="1:12" ht="15">
      <c r="A58" s="13"/>
      <c r="B58" s="13"/>
      <c r="C58" s="13" t="s">
        <v>357</v>
      </c>
      <c r="D58" s="16" t="s">
        <v>358</v>
      </c>
      <c r="E58" s="13">
        <f>Source!AQ34</f>
        <v>129.9</v>
      </c>
      <c r="F58" s="13"/>
      <c r="G58" s="31">
        <f>Source!DI34</f>
      </c>
      <c r="H58" s="13"/>
      <c r="I58" s="13"/>
      <c r="J58" s="13"/>
      <c r="K58" s="13"/>
      <c r="L58" s="15">
        <f>Source!U34</f>
        <v>1052.19</v>
      </c>
    </row>
    <row r="59" spans="1:25" ht="30">
      <c r="A59" s="28"/>
      <c r="B59" s="28" t="str">
        <f>Source!F35</f>
        <v>402-0008</v>
      </c>
      <c r="C59" s="29" t="str">
        <f>Source!G35</f>
        <v>Раствор готовый кладочный цементный марки 300</v>
      </c>
      <c r="D59" s="30" t="str">
        <f>Source!H35</f>
        <v>м3</v>
      </c>
      <c r="E59" s="13">
        <f>ROUND(Source!I35,6)</f>
        <v>16.2</v>
      </c>
      <c r="F59" s="15">
        <f>IF(Source!AL35=0,Source!AK35,Source!AL35)</f>
        <v>711.51</v>
      </c>
      <c r="G59" s="31">
        <f>Source!DD35</f>
      </c>
      <c r="H59" s="40">
        <f>ROUND((Source!CR35/IF(Source!BB35&lt;&gt;0,Source!BB35,1)*Source!I35),2)+ROUND((Source!CQ35/IF(Source!BC35&lt;&gt;0,Source!BC35,1)*Source!I35),2)+ROUND((Source!CT35/IF(Source!BA35&lt;&gt;0,Source!BA35,1)*Source!I35),2)</f>
        <v>11526.46</v>
      </c>
      <c r="I59" s="31" t="str">
        <f>IF(Source!BO35&lt;&gt;"",Source!BO35,"")</f>
        <v>402-0008</v>
      </c>
      <c r="J59" s="13">
        <f>Source!BC35</f>
        <v>5.17</v>
      </c>
      <c r="K59" s="15">
        <f>Source!O35</f>
        <v>59591.81</v>
      </c>
      <c r="L59" s="13"/>
      <c r="N59">
        <f>ROUND((Source!CT35/IF(Source!BA35&lt;&gt;0,Source!BA35,1)*Source!I35),2)</f>
        <v>0</v>
      </c>
      <c r="O59">
        <f>IF(Source!BI35=1,(ROUND((Source!CR35/IF(Source!BB35&lt;&gt;0,Source!BB35,1)*Source!I35),2)+ROUND((Source!CQ35/IF(Source!BC35&lt;&gt;0,Source!BC35,1)*Source!I35),2)+ROUND((Source!CT35/IF(Source!BA35&lt;&gt;0,Source!BA35,1)*Source!I35),2)),0)</f>
        <v>11526.46</v>
      </c>
      <c r="P59">
        <f>IF(Source!BI35=2,(ROUND((Source!CR35/IF(Source!BB35&lt;&gt;0,Source!BB35,1)*Source!I35),2)+ROUND((Source!CQ35/IF(Source!BC35&lt;&gt;0,Source!BC35,1)*Source!I35),2)+ROUND((Source!CT35/IF(Source!BA35&lt;&gt;0,Source!BA35,1)*Source!I35),2)),0)</f>
        <v>0</v>
      </c>
      <c r="Q59">
        <f>IF(Source!BI35=3,(ROUND((Source!CR35/IF(Source!BB35&lt;&gt;0,Source!BB35,1)*Source!I35),2)+ROUND((Source!CQ35/IF(Source!BC35&lt;&gt;0,Source!BC35,1)*Source!I35),2)+ROUND((Source!CT35/IF(Source!BA35&lt;&gt;0,Source!BA35,1)*Source!I35),2)),0)</f>
        <v>0</v>
      </c>
      <c r="R59">
        <f>IF(Source!BI35=4,(ROUND((Source!CR35/IF(Source!BB35&lt;&gt;0,Source!BB35,1)*Source!I35),2)+ROUND((Source!CQ35/IF(Source!BC35&lt;&gt;0,Source!BC35,1)*Source!I35),2)+ROUND((Source!CT35/IF(Source!BA35&lt;&gt;0,Source!BA35,1)*Source!I35),2)),0)</f>
        <v>0</v>
      </c>
      <c r="S59">
        <f>IF(Source!BI35=1,Source!O35+Source!X35+Source!Y35,0)</f>
        <v>59591.81</v>
      </c>
      <c r="T59">
        <f>IF(Source!BI35=2,Source!O35+Source!X35+Source!Y35,0)</f>
        <v>0</v>
      </c>
      <c r="U59">
        <f>IF(Source!BI35=3,Source!O35+Source!X35+Source!Y35,0)</f>
        <v>0</v>
      </c>
      <c r="V59">
        <f>IF(Source!BI35=4,Source!O35+Source!X35+Source!Y35,0)</f>
        <v>0</v>
      </c>
      <c r="W59">
        <f>ROUND((Source!CS35/IF(Source!BS35&lt;&gt;0,Source!BS35,1)*Source!I35),2)</f>
        <v>0</v>
      </c>
      <c r="X59">
        <f>ROUND((Source!FX35/100)*(ROUND((Source!CT35/IF(Source!BA35&lt;&gt;0,Source!BA35,1)*Source!I35),2)+ROUND((Source!CS35/IF(Source!BS35&lt;&gt;0,Source!BS35,1)*Source!I35),2)),2)</f>
        <v>0</v>
      </c>
      <c r="Y59">
        <f>ROUND((Source!FY35/100)*(ROUND((Source!CT35/IF(Source!BA35&lt;&gt;0,Source!BA35,1)*Source!I35),2)+ROUND((Source!CS35/IF(Source!BS35&lt;&gt;0,Source!BS35,1)*Source!I35),2)),2)</f>
        <v>0</v>
      </c>
    </row>
    <row r="60" spans="1:25" ht="30">
      <c r="A60" s="41"/>
      <c r="B60" s="41" t="str">
        <f>Source!F36</f>
        <v>402-0004</v>
      </c>
      <c r="C60" s="42" t="str">
        <f>Source!G36</f>
        <v>Раствор готовый кладочный цементный марки 100</v>
      </c>
      <c r="D60" s="43" t="str">
        <f>Source!H36</f>
        <v>м3</v>
      </c>
      <c r="E60" s="34">
        <f>ROUND(Source!I36,6)</f>
        <v>-16.2</v>
      </c>
      <c r="F60" s="37">
        <f>IF(Source!AL36=0,Source!AK36,Source!AL36)</f>
        <v>519.8</v>
      </c>
      <c r="G60" s="36">
        <f>Source!DD36</f>
      </c>
      <c r="H60" s="44">
        <f>ROUND((Source!CR36/IF(Source!BB36&lt;&gt;0,Source!BB36,1)*Source!I36),2)+ROUND((Source!CQ36/IF(Source!BC36&lt;&gt;0,Source!BC36,1)*Source!I36),2)+ROUND((Source!CT36/IF(Source!BA36&lt;&gt;0,Source!BA36,1)*Source!I36),2)</f>
        <v>-8420.76</v>
      </c>
      <c r="I60" s="36" t="str">
        <f>IF(Source!BO36&lt;&gt;"",Source!BO36,"")</f>
        <v>402-0004</v>
      </c>
      <c r="J60" s="34">
        <f>Source!BC36</f>
        <v>6.06</v>
      </c>
      <c r="K60" s="37">
        <f>Source!O36</f>
        <v>-51029.81</v>
      </c>
      <c r="L60" s="34"/>
      <c r="N60">
        <f>ROUND((Source!CT36/IF(Source!BA36&lt;&gt;0,Source!BA36,1)*Source!I36),2)</f>
        <v>0</v>
      </c>
      <c r="O60">
        <f>IF(Source!BI36=1,(ROUND((Source!CR36/IF(Source!BB36&lt;&gt;0,Source!BB36,1)*Source!I36),2)+ROUND((Source!CQ36/IF(Source!BC36&lt;&gt;0,Source!BC36,1)*Source!I36),2)+ROUND((Source!CT36/IF(Source!BA36&lt;&gt;0,Source!BA36,1)*Source!I36),2)),0)</f>
        <v>-8420.76</v>
      </c>
      <c r="P60">
        <f>IF(Source!BI36=2,(ROUND((Source!CR36/IF(Source!BB36&lt;&gt;0,Source!BB36,1)*Source!I36),2)+ROUND((Source!CQ36/IF(Source!BC36&lt;&gt;0,Source!BC36,1)*Source!I36),2)+ROUND((Source!CT36/IF(Source!BA36&lt;&gt;0,Source!BA36,1)*Source!I36),2)),0)</f>
        <v>0</v>
      </c>
      <c r="Q60">
        <f>IF(Source!BI36=3,(ROUND((Source!CR36/IF(Source!BB36&lt;&gt;0,Source!BB36,1)*Source!I36),2)+ROUND((Source!CQ36/IF(Source!BC36&lt;&gt;0,Source!BC36,1)*Source!I36),2)+ROUND((Source!CT36/IF(Source!BA36&lt;&gt;0,Source!BA36,1)*Source!I36),2)),0)</f>
        <v>0</v>
      </c>
      <c r="R60">
        <f>IF(Source!BI36=4,(ROUND((Source!CR36/IF(Source!BB36&lt;&gt;0,Source!BB36,1)*Source!I36),2)+ROUND((Source!CQ36/IF(Source!BC36&lt;&gt;0,Source!BC36,1)*Source!I36),2)+ROUND((Source!CT36/IF(Source!BA36&lt;&gt;0,Source!BA36,1)*Source!I36),2)),0)</f>
        <v>0</v>
      </c>
      <c r="S60">
        <f>IF(Source!BI36=1,Source!O36+Source!X36+Source!Y36,0)</f>
        <v>-51029.81</v>
      </c>
      <c r="T60">
        <f>IF(Source!BI36=2,Source!O36+Source!X36+Source!Y36,0)</f>
        <v>0</v>
      </c>
      <c r="U60">
        <f>IF(Source!BI36=3,Source!O36+Source!X36+Source!Y36,0)</f>
        <v>0</v>
      </c>
      <c r="V60">
        <f>IF(Source!BI36=4,Source!O36+Source!X36+Source!Y36,0)</f>
        <v>0</v>
      </c>
      <c r="W60">
        <f>ROUND((Source!CS36/IF(Source!BS36&lt;&gt;0,Source!BS36,1)*Source!I36),2)</f>
        <v>0</v>
      </c>
      <c r="X60">
        <f>ROUND((Source!FX36/100)*(ROUND((Source!CT36/IF(Source!BA36&lt;&gt;0,Source!BA36,1)*Source!I36),2)+ROUND((Source!CS36/IF(Source!BS36&lt;&gt;0,Source!BS36,1)*Source!I36),2)),2)</f>
        <v>0</v>
      </c>
      <c r="Y60">
        <f>ROUND((Source!FY36/100)*(ROUND((Source!CT36/IF(Source!BA36&lt;&gt;0,Source!BA36,1)*Source!I36),2)+ROUND((Source!CS36/IF(Source!BS36&lt;&gt;0,Source!BS36,1)*Source!I36),2)),2)</f>
        <v>0</v>
      </c>
    </row>
    <row r="61" spans="1:23" ht="15.75">
      <c r="A61" s="13"/>
      <c r="B61" s="13"/>
      <c r="C61" s="13"/>
      <c r="D61" s="13"/>
      <c r="E61" s="13"/>
      <c r="F61" s="13"/>
      <c r="G61" s="13"/>
      <c r="H61" s="38">
        <f>ROUND((Source!CT34/IF(Source!BA34&lt;&gt;0,Source!BA34,1)*Source!I34),2)+ROUND((Source!CR34/IF(Source!BB34&lt;&gt;0,Source!BB34,1)*Source!I34),2)+ROUND((Source!CQ34/IF(Source!BC34&lt;&gt;0,Source!BC34,1)*Source!I34),2)+H56+H57+H59+H60</f>
        <v>25994.260000000002</v>
      </c>
      <c r="I61" s="39"/>
      <c r="J61" s="39"/>
      <c r="K61" s="38">
        <f>Source!O34+K56+K57+K59+K60</f>
        <v>288773.86</v>
      </c>
      <c r="L61" s="38">
        <f>Source!U34</f>
        <v>1052.19</v>
      </c>
      <c r="M61" s="32">
        <f>H61</f>
        <v>25994.260000000002</v>
      </c>
      <c r="N61">
        <f>ROUND((Source!CT34/IF(Source!BA34&lt;&gt;0,Source!BA34,1)*Source!I34),2)</f>
        <v>5272.37</v>
      </c>
      <c r="O61">
        <f>IF(Source!BI34=1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22888.56852</v>
      </c>
      <c r="P61">
        <f>IF(Source!BI34=2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Q61">
        <f>IF(Source!BI34=3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R61">
        <f>IF(Source!BI34=4,((((Source!CT34/IF(Source!BA34&lt;&gt;0,Source!BA34,1)*Source!I34)+(Source!CR34/IF(Source!BB34&lt;&gt;0,Source!BB34,1)*Source!I34)+(Source!CQ34/IF(Source!BC34&lt;&gt;0,Source!BC34,1)*Source!I34))+((Source!FX34/100)*((Source!CT34/IF(Source!BA34&lt;&gt;0,Source!BA34,1)*Source!I34)+(Source!CS34/IF(Source!BS34&lt;&gt;0,Source!BS34,1)*Source!I34)))+((Source!FY34/100)*((Source!CT34/IF(Source!BA34&lt;&gt;0,Source!BA34,1)*Source!I34)+(Source!CS34/IF(Source!BS34&lt;&gt;0,Source!BS34,1)*Source!I34))))),0)</f>
        <v>0</v>
      </c>
      <c r="S61">
        <f>IF(Source!BI34=1,Source!O34+Source!X34+Source!Y34,0)</f>
        <v>280211.86</v>
      </c>
      <c r="T61">
        <f>IF(Source!BI34=2,Source!O34+Source!X34+Source!Y34,0)</f>
        <v>0</v>
      </c>
      <c r="U61">
        <f>IF(Source!BI34=3,Source!O34+Source!X34+Source!Y34,0)</f>
        <v>0</v>
      </c>
      <c r="V61">
        <f>IF(Source!BI34=4,Source!O34+Source!X34+Source!Y34,0)</f>
        <v>0</v>
      </c>
      <c r="W61">
        <f>ROUND((Source!CS34/IF(Source!BS34&lt;&gt;0,Source!BS34,1)*Source!I34),2)</f>
        <v>112.43</v>
      </c>
    </row>
    <row r="62" spans="1:12" ht="30">
      <c r="A62" s="28" t="str">
        <f>Source!E37</f>
        <v>4</v>
      </c>
      <c r="B62" s="28" t="str">
        <f>Source!F37</f>
        <v>62-41-1</v>
      </c>
      <c r="C62" s="29" t="str">
        <f>Source!G37</f>
        <v>Очистка конструкций с обеспыливанием</v>
      </c>
      <c r="D62" s="30" t="str">
        <f>Source!H37</f>
        <v>100 м2</v>
      </c>
      <c r="E62" s="13">
        <f>ROUND(Source!I37,6)</f>
        <v>1.5</v>
      </c>
      <c r="F62" s="15">
        <f>IF(Source!AK37&lt;&gt;0,Source!AK37,Source!AL37+Source!AM37+Source!AO37)</f>
        <v>132.24</v>
      </c>
      <c r="G62" s="13"/>
      <c r="H62" s="13"/>
      <c r="I62" s="31" t="str">
        <f>IF(Source!BO37&lt;&gt;"",Source!BO37,"")</f>
        <v>62-41-1</v>
      </c>
      <c r="J62" s="13"/>
      <c r="K62" s="13"/>
      <c r="L62" s="13"/>
    </row>
    <row r="63" spans="1:12" ht="15">
      <c r="A63" s="13"/>
      <c r="B63" s="13"/>
      <c r="C63" s="13" t="s">
        <v>353</v>
      </c>
      <c r="D63" s="13"/>
      <c r="E63" s="13"/>
      <c r="F63" s="15">
        <f>Source!AO37</f>
        <v>132.24</v>
      </c>
      <c r="G63" s="31">
        <f>Source!DG37</f>
      </c>
      <c r="H63" s="15">
        <f>ROUND((Source!CT37/IF(Source!BA37&lt;&gt;0,Source!BA37,1)*Source!I37),2)</f>
        <v>198.36</v>
      </c>
      <c r="I63" s="13"/>
      <c r="J63" s="13">
        <f>Source!BA37</f>
        <v>18.36</v>
      </c>
      <c r="K63" s="15">
        <f>Source!S37</f>
        <v>3641.89</v>
      </c>
      <c r="L63" s="13"/>
    </row>
    <row r="64" spans="1:24" ht="15">
      <c r="A64" s="13"/>
      <c r="B64" s="13"/>
      <c r="C64" s="13" t="s">
        <v>355</v>
      </c>
      <c r="D64" s="16" t="s">
        <v>356</v>
      </c>
      <c r="E64" s="13"/>
      <c r="F64" s="15">
        <f>Source!BZ37</f>
        <v>80</v>
      </c>
      <c r="G64" s="13"/>
      <c r="H64" s="15">
        <f>X64</f>
        <v>158.69</v>
      </c>
      <c r="I64" s="13" t="str">
        <f>Source!FV37</f>
        <v>((*0.85))</v>
      </c>
      <c r="J64" s="15">
        <f>Source!AT37</f>
        <v>68</v>
      </c>
      <c r="K64" s="15">
        <f>Source!X37</f>
        <v>2476.49</v>
      </c>
      <c r="L64" s="13"/>
      <c r="X64">
        <f>ROUND((Source!FX37/100)*(ROUND((Source!CT37/IF(Source!BA37&lt;&gt;0,Source!BA37,1)*Source!I37),2)+ROUND((Source!CS37/IF(Source!BS37&lt;&gt;0,Source!BS37,1)*Source!I37),2)),2)</f>
        <v>158.69</v>
      </c>
    </row>
    <row r="65" spans="1:25" ht="15">
      <c r="A65" s="13"/>
      <c r="B65" s="13"/>
      <c r="C65" s="13" t="s">
        <v>144</v>
      </c>
      <c r="D65" s="16" t="s">
        <v>356</v>
      </c>
      <c r="E65" s="13"/>
      <c r="F65" s="15">
        <f>Source!CA37</f>
        <v>50</v>
      </c>
      <c r="G65" s="13"/>
      <c r="H65" s="15">
        <f>Y65</f>
        <v>99.18</v>
      </c>
      <c r="I65" s="13" t="str">
        <f>Source!FW37</f>
        <v>((*0.8))</v>
      </c>
      <c r="J65" s="15">
        <f>Source!AU37</f>
        <v>40</v>
      </c>
      <c r="K65" s="15">
        <f>Source!Y37</f>
        <v>1456.76</v>
      </c>
      <c r="L65" s="13"/>
      <c r="Y65">
        <f>ROUND((Source!FY37/100)*(ROUND((Source!CT37/IF(Source!BA37&lt;&gt;0,Source!BA37,1)*Source!I37),2)+ROUND((Source!CS37/IF(Source!BS37&lt;&gt;0,Source!BS37,1)*Source!I37),2)),2)</f>
        <v>99.18</v>
      </c>
    </row>
    <row r="66" spans="1:12" ht="15">
      <c r="A66" s="34"/>
      <c r="B66" s="34"/>
      <c r="C66" s="34" t="s">
        <v>357</v>
      </c>
      <c r="D66" s="35" t="s">
        <v>358</v>
      </c>
      <c r="E66" s="34">
        <f>Source!AQ37</f>
        <v>20.8</v>
      </c>
      <c r="F66" s="34"/>
      <c r="G66" s="36">
        <f>Source!DI37</f>
      </c>
      <c r="H66" s="34"/>
      <c r="I66" s="34"/>
      <c r="J66" s="34"/>
      <c r="K66" s="34"/>
      <c r="L66" s="37">
        <f>Source!U37</f>
        <v>31.200000000000003</v>
      </c>
    </row>
    <row r="67" spans="1:23" ht="15.75">
      <c r="A67" s="13"/>
      <c r="B67" s="13"/>
      <c r="C67" s="13"/>
      <c r="D67" s="13"/>
      <c r="E67" s="13"/>
      <c r="F67" s="13"/>
      <c r="G67" s="13"/>
      <c r="H67" s="38">
        <f>ROUND((Source!CT37/IF(Source!BA37&lt;&gt;0,Source!BA37,1)*Source!I37),2)+ROUND((Source!CR37/IF(Source!BB37&lt;&gt;0,Source!BB37,1)*Source!I37),2)+ROUND((Source!CQ37/IF(Source!BC37&lt;&gt;0,Source!BC37,1)*Source!I37),2)+H64+H65</f>
        <v>456.23</v>
      </c>
      <c r="I67" s="39"/>
      <c r="J67" s="39"/>
      <c r="K67" s="38">
        <f>Source!O37+K64+K65</f>
        <v>7575.139999999999</v>
      </c>
      <c r="L67" s="38">
        <f>Source!U37</f>
        <v>31.200000000000003</v>
      </c>
      <c r="M67" s="32">
        <f>H67</f>
        <v>456.23</v>
      </c>
      <c r="N67">
        <f>ROUND((Source!CT37/IF(Source!BA37&lt;&gt;0,Source!BA37,1)*Source!I37),2)</f>
        <v>198.36</v>
      </c>
      <c r="O67">
        <f>IF(Source!BI37=1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456.228</v>
      </c>
      <c r="P67">
        <f>IF(Source!BI37=2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Q67">
        <f>IF(Source!BI37=3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R67">
        <f>IF(Source!BI37=4,((((Source!CT37/IF(Source!BA37&lt;&gt;0,Source!BA37,1)*Source!I37)+(Source!CR37/IF(Source!BB37&lt;&gt;0,Source!BB37,1)*Source!I37)+(Source!CQ37/IF(Source!BC37&lt;&gt;0,Source!BC37,1)*Source!I37))+((Source!FX37/100)*((Source!CT37/IF(Source!BA37&lt;&gt;0,Source!BA37,1)*Source!I37)+(Source!CS37/IF(Source!BS37&lt;&gt;0,Source!BS37,1)*Source!I37)))+((Source!FY37/100)*((Source!CT37/IF(Source!BA37&lt;&gt;0,Source!BA37,1)*Source!I37)+(Source!CS37/IF(Source!BS37&lt;&gt;0,Source!BS37,1)*Source!I37))))),0)</f>
        <v>0</v>
      </c>
      <c r="S67">
        <f>IF(Source!BI37=1,Source!O37+Source!X37+Source!Y37,0)</f>
        <v>7575.139999999999</v>
      </c>
      <c r="T67">
        <f>IF(Source!BI37=2,Source!O37+Source!X37+Source!Y37,0)</f>
        <v>0</v>
      </c>
      <c r="U67">
        <f>IF(Source!BI37=3,Source!O37+Source!X37+Source!Y37,0)</f>
        <v>0</v>
      </c>
      <c r="V67">
        <f>IF(Source!BI37=4,Source!O37+Source!X37+Source!Y37,0)</f>
        <v>0</v>
      </c>
      <c r="W67">
        <f>ROUND((Source!CS37/IF(Source!BS37&lt;&gt;0,Source!BS37,1)*Source!I37),2)</f>
        <v>0</v>
      </c>
    </row>
    <row r="68" spans="1:12" ht="30">
      <c r="A68" s="28" t="str">
        <f>Source!E38</f>
        <v>5</v>
      </c>
      <c r="B68" s="28" t="str">
        <f>Source!F38</f>
        <v>12-01-004-1</v>
      </c>
      <c r="C68" s="29" t="str">
        <f>Source!G38</f>
        <v>Герметизация примыканий фонарей</v>
      </c>
      <c r="D68" s="30" t="str">
        <f>Source!H38</f>
        <v>100 м</v>
      </c>
      <c r="E68" s="13">
        <f>ROUND(Source!I38,6)</f>
        <v>15.12</v>
      </c>
      <c r="F68" s="15">
        <f>IF(Source!AK38&lt;&gt;0,Source!AK38,Source!AL38+Source!AM38+Source!AO38)</f>
        <v>2707.35</v>
      </c>
      <c r="G68" s="13"/>
      <c r="H68" s="13"/>
      <c r="I68" s="31" t="str">
        <f>IF(Source!BO38&lt;&gt;"",Source!BO38,"")</f>
        <v>12-01-004-1</v>
      </c>
      <c r="J68" s="13"/>
      <c r="K68" s="13"/>
      <c r="L68" s="13"/>
    </row>
    <row r="69" spans="1:12" ht="15">
      <c r="A69" s="13"/>
      <c r="B69" s="13"/>
      <c r="C69" s="13" t="s">
        <v>353</v>
      </c>
      <c r="D69" s="13"/>
      <c r="E69" s="13"/>
      <c r="F69" s="15">
        <f>Source!AO38</f>
        <v>209.6</v>
      </c>
      <c r="G69" s="31">
        <f>Source!DG38</f>
      </c>
      <c r="H69" s="15">
        <f>ROUND((Source!CT38/IF(Source!BA38&lt;&gt;0,Source!BA38,1)*Source!I38),2)</f>
        <v>3169.15</v>
      </c>
      <c r="I69" s="13"/>
      <c r="J69" s="13">
        <f>Source!BA38</f>
        <v>18.36</v>
      </c>
      <c r="K69" s="15">
        <f>Source!S38</f>
        <v>58185.63</v>
      </c>
      <c r="L69" s="13"/>
    </row>
    <row r="70" spans="1:12" ht="15">
      <c r="A70" s="13"/>
      <c r="B70" s="13"/>
      <c r="C70" s="13" t="s">
        <v>128</v>
      </c>
      <c r="D70" s="13"/>
      <c r="E70" s="13"/>
      <c r="F70" s="15">
        <f>Source!AM38</f>
        <v>181.7</v>
      </c>
      <c r="G70" s="31">
        <f>Source!DE38</f>
      </c>
      <c r="H70" s="15">
        <f>ROUND((Source!CR38/IF(Source!BB38&lt;&gt;0,Source!BB38,1)*Source!I38),2)</f>
        <v>2747.3</v>
      </c>
      <c r="I70" s="13"/>
      <c r="J70" s="13">
        <f>Source!BB38</f>
        <v>3.9</v>
      </c>
      <c r="K70" s="15">
        <f>Source!Q38</f>
        <v>10714.49</v>
      </c>
      <c r="L70" s="13"/>
    </row>
    <row r="71" spans="1:12" ht="15">
      <c r="A71" s="13"/>
      <c r="B71" s="13"/>
      <c r="C71" s="13" t="s">
        <v>354</v>
      </c>
      <c r="D71" s="13"/>
      <c r="E71" s="13"/>
      <c r="F71" s="15">
        <f>Source!AN38</f>
        <v>3.24</v>
      </c>
      <c r="G71" s="31">
        <f>Source!DF38</f>
      </c>
      <c r="H71" s="33">
        <f>ROUND((Source!CS38/IF(Source!BS38&lt;&gt;0,Source!BS38,1)*Source!I38),2)</f>
        <v>48.99</v>
      </c>
      <c r="I71" s="13"/>
      <c r="J71" s="13">
        <f>Source!BS38</f>
        <v>18.36</v>
      </c>
      <c r="K71" s="33">
        <f>Source!R38</f>
        <v>899.43</v>
      </c>
      <c r="L71" s="13"/>
    </row>
    <row r="72" spans="1:24" ht="15">
      <c r="A72" s="13"/>
      <c r="B72" s="13"/>
      <c r="C72" s="13" t="s">
        <v>355</v>
      </c>
      <c r="D72" s="16" t="s">
        <v>356</v>
      </c>
      <c r="E72" s="13"/>
      <c r="F72" s="15">
        <f>Source!BZ38</f>
        <v>120</v>
      </c>
      <c r="G72" s="13"/>
      <c r="H72" s="15">
        <f>X72</f>
        <v>3861.77</v>
      </c>
      <c r="I72" s="13" t="str">
        <f>Source!FV38</f>
        <v>((*0.85))</v>
      </c>
      <c r="J72" s="15">
        <f>Source!AT38</f>
        <v>102</v>
      </c>
      <c r="K72" s="15">
        <f>Source!X38</f>
        <v>60266.76</v>
      </c>
      <c r="L72" s="13"/>
      <c r="X72">
        <f>ROUND((Source!FX38/100)*(ROUND((Source!CT38/IF(Source!BA38&lt;&gt;0,Source!BA38,1)*Source!I38),2)+ROUND((Source!CS38/IF(Source!BS38&lt;&gt;0,Source!BS38,1)*Source!I38),2)),2)</f>
        <v>3861.77</v>
      </c>
    </row>
    <row r="73" spans="1:25" ht="15">
      <c r="A73" s="13"/>
      <c r="B73" s="13"/>
      <c r="C73" s="13" t="s">
        <v>144</v>
      </c>
      <c r="D73" s="16" t="s">
        <v>356</v>
      </c>
      <c r="E73" s="13"/>
      <c r="F73" s="15">
        <f>Source!CA38</f>
        <v>65</v>
      </c>
      <c r="G73" s="13"/>
      <c r="H73" s="15">
        <f>Y73</f>
        <v>2091.79</v>
      </c>
      <c r="I73" s="13" t="str">
        <f>Source!FW38</f>
        <v>((*0.8))</v>
      </c>
      <c r="J73" s="15">
        <f>Source!AU38</f>
        <v>52</v>
      </c>
      <c r="K73" s="15">
        <f>Source!Y38</f>
        <v>30724.23</v>
      </c>
      <c r="L73" s="13"/>
      <c r="Y73">
        <f>ROUND((Source!FY38/100)*(ROUND((Source!CT38/IF(Source!BA38&lt;&gt;0,Source!BA38,1)*Source!I38),2)+ROUND((Source!CS38/IF(Source!BS38&lt;&gt;0,Source!BS38,1)*Source!I38),2)),2)</f>
        <v>2091.79</v>
      </c>
    </row>
    <row r="74" spans="1:12" ht="15">
      <c r="A74" s="34"/>
      <c r="B74" s="34"/>
      <c r="C74" s="34" t="s">
        <v>357</v>
      </c>
      <c r="D74" s="35" t="s">
        <v>358</v>
      </c>
      <c r="E74" s="34">
        <f>Source!AQ38</f>
        <v>26.1</v>
      </c>
      <c r="F74" s="34"/>
      <c r="G74" s="36">
        <f>Source!DI38</f>
      </c>
      <c r="H74" s="34"/>
      <c r="I74" s="34"/>
      <c r="J74" s="34"/>
      <c r="K74" s="34"/>
      <c r="L74" s="37">
        <f>Source!U38</f>
        <v>394.632</v>
      </c>
    </row>
    <row r="75" spans="1:23" ht="15.75">
      <c r="A75" s="13"/>
      <c r="B75" s="13"/>
      <c r="C75" s="13"/>
      <c r="D75" s="13"/>
      <c r="E75" s="13"/>
      <c r="F75" s="13"/>
      <c r="G75" s="13"/>
      <c r="H75" s="38">
        <f>ROUND((Source!CT38/IF(Source!BA38&lt;&gt;0,Source!BA38,1)*Source!I38),2)+ROUND((Source!CR38/IF(Source!BB38&lt;&gt;0,Source!BB38,1)*Source!I38),2)+ROUND((Source!CQ38/IF(Source!BC38&lt;&gt;0,Source!BC38,1)*Source!I38),2)+H72+H73</f>
        <v>11870.010000000002</v>
      </c>
      <c r="I75" s="39"/>
      <c r="J75" s="39"/>
      <c r="K75" s="38">
        <f>Source!O38+K72+K73</f>
        <v>159891.11000000002</v>
      </c>
      <c r="L75" s="38">
        <f>Source!U38</f>
        <v>394.632</v>
      </c>
      <c r="M75" s="32">
        <f>H75</f>
        <v>11870.010000000002</v>
      </c>
      <c r="N75">
        <f>ROUND((Source!CT38/IF(Source!BA38&lt;&gt;0,Source!BA38,1)*Source!I38),2)</f>
        <v>3169.15</v>
      </c>
      <c r="O75">
        <f>IF(Source!BI38=1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11870.016479999998</v>
      </c>
      <c r="P75">
        <f>IF(Source!BI38=2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Q75">
        <f>IF(Source!BI38=3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R75">
        <f>IF(Source!BI38=4,((((Source!CT38/IF(Source!BA38&lt;&gt;0,Source!BA38,1)*Source!I38)+(Source!CR38/IF(Source!BB38&lt;&gt;0,Source!BB38,1)*Source!I38)+(Source!CQ38/IF(Source!BC38&lt;&gt;0,Source!BC38,1)*Source!I38))+((Source!FX38/100)*((Source!CT38/IF(Source!BA38&lt;&gt;0,Source!BA38,1)*Source!I38)+(Source!CS38/IF(Source!BS38&lt;&gt;0,Source!BS38,1)*Source!I38)))+((Source!FY38/100)*((Source!CT38/IF(Source!BA38&lt;&gt;0,Source!BA38,1)*Source!I38)+(Source!CS38/IF(Source!BS38&lt;&gt;0,Source!BS38,1)*Source!I38))))),0)</f>
        <v>0</v>
      </c>
      <c r="S75">
        <f>IF(Source!BI38=1,Source!O38+Source!X38+Source!Y38,0)</f>
        <v>159891.11000000002</v>
      </c>
      <c r="T75">
        <f>IF(Source!BI38=2,Source!O38+Source!X38+Source!Y38,0)</f>
        <v>0</v>
      </c>
      <c r="U75">
        <f>IF(Source!BI38=3,Source!O38+Source!X38+Source!Y38,0)</f>
        <v>0</v>
      </c>
      <c r="V75">
        <f>IF(Source!BI38=4,Source!O38+Source!X38+Source!Y38,0)</f>
        <v>0</v>
      </c>
      <c r="W75">
        <f>ROUND((Source!CS38/IF(Source!BS38&lt;&gt;0,Source!BS38,1)*Source!I38),2)</f>
        <v>48.99</v>
      </c>
    </row>
    <row r="76" spans="1:12" ht="30">
      <c r="A76" s="28" t="str">
        <f>Source!E39</f>
        <v>6</v>
      </c>
      <c r="B76" s="28" t="str">
        <f>Source!F39</f>
        <v>прайс-лист</v>
      </c>
      <c r="C76" s="29" t="str">
        <f>Source!G39</f>
        <v>Однокомпонентная резина GPSpraykote</v>
      </c>
      <c r="D76" s="30" t="str">
        <f>Source!H39</f>
        <v>кг</v>
      </c>
      <c r="E76" s="13">
        <f>ROUND(Source!I39,6)</f>
        <v>1512</v>
      </c>
      <c r="F76" s="15">
        <f>IF(Source!AK39&lt;&gt;0,Source!AK39,Source!AL39+Source!AM39+Source!AO39)</f>
        <v>299.98</v>
      </c>
      <c r="G76" s="13"/>
      <c r="H76" s="13"/>
      <c r="I76" s="31">
        <f>IF(Source!BO39&lt;&gt;"",Source!BO39,"")</f>
      </c>
      <c r="J76" s="13"/>
      <c r="K76" s="13"/>
      <c r="L76" s="13"/>
    </row>
    <row r="77" spans="1:12" ht="15">
      <c r="A77" s="34"/>
      <c r="B77" s="34"/>
      <c r="C77" s="34" t="s">
        <v>359</v>
      </c>
      <c r="D77" s="34"/>
      <c r="E77" s="34"/>
      <c r="F77" s="37">
        <f>Source!AL39</f>
        <v>299.98</v>
      </c>
      <c r="G77" s="36">
        <f>Source!DD39</f>
      </c>
      <c r="H77" s="37">
        <f>ROUND((Source!CQ39/IF(Source!BC39&lt;&gt;0,Source!BC39,1)*Source!I39),2)</f>
        <v>453569.76</v>
      </c>
      <c r="I77" s="34"/>
      <c r="J77" s="34">
        <f>Source!BC39</f>
        <v>1</v>
      </c>
      <c r="K77" s="37">
        <f>Source!P39</f>
        <v>453569.76</v>
      </c>
      <c r="L77" s="34"/>
    </row>
    <row r="78" spans="1:23" ht="15.75">
      <c r="A78" s="13"/>
      <c r="B78" s="13"/>
      <c r="C78" s="13"/>
      <c r="D78" s="13"/>
      <c r="E78" s="13"/>
      <c r="F78" s="13"/>
      <c r="G78" s="13"/>
      <c r="H78" s="38">
        <f>ROUND((Source!CT39/IF(Source!BA39&lt;&gt;0,Source!BA39,1)*Source!I39),2)+ROUND((Source!CR39/IF(Source!BB39&lt;&gt;0,Source!BB39,1)*Source!I39),2)+ROUND((Source!CQ39/IF(Source!BC39&lt;&gt;0,Source!BC39,1)*Source!I39),2)</f>
        <v>453569.76</v>
      </c>
      <c r="I78" s="39"/>
      <c r="J78" s="39"/>
      <c r="K78" s="38">
        <f>Source!O39</f>
        <v>453569.76</v>
      </c>
      <c r="L78" s="38">
        <f>Source!U39</f>
        <v>0</v>
      </c>
      <c r="M78" s="32">
        <f>H78</f>
        <v>453569.76</v>
      </c>
      <c r="N78">
        <f>ROUND((Source!CT39/IF(Source!BA39&lt;&gt;0,Source!BA39,1)*Source!I39),2)</f>
        <v>0</v>
      </c>
      <c r="O78">
        <f>IF(Source!BI39=1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P78">
        <f>IF(Source!BI39=2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Q78">
        <f>IF(Source!BI39=3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0</v>
      </c>
      <c r="R78">
        <f>IF(Source!BI39=4,((((Source!CT39/IF(Source!BA39&lt;&gt;0,Source!BA39,1)*Source!I39)+(Source!CR39/IF(Source!BB39&lt;&gt;0,Source!BB39,1)*Source!I39)+(Source!CQ39/IF(Source!BC39&lt;&gt;0,Source!BC39,1)*Source!I39))+((Source!FX39/100)*((Source!CT39/IF(Source!BA39&lt;&gt;0,Source!BA39,1)*Source!I39)+(Source!CS39/IF(Source!BS39&lt;&gt;0,Source!BS39,1)*Source!I39)))+((Source!FY39/100)*((Source!CT39/IF(Source!BA39&lt;&gt;0,Source!BA39,1)*Source!I39)+(Source!CS39/IF(Source!BS39&lt;&gt;0,Source!BS39,1)*Source!I39))))),0)</f>
        <v>453569.76</v>
      </c>
      <c r="S78">
        <f>IF(Source!BI39=1,Source!O39+Source!X39+Source!Y39,0)</f>
        <v>0</v>
      </c>
      <c r="T78">
        <f>IF(Source!BI39=2,Source!O39+Source!X39+Source!Y39,0)</f>
        <v>0</v>
      </c>
      <c r="U78">
        <f>IF(Source!BI39=3,Source!O39+Source!X39+Source!Y39,0)</f>
        <v>0</v>
      </c>
      <c r="V78">
        <f>IF(Source!BI39=4,Source!O39+Source!X39+Source!Y39,0)</f>
        <v>453569.76</v>
      </c>
      <c r="W78">
        <f>ROUND((Source!CS39/IF(Source!BS39&lt;&gt;0,Source!BS39,1)*Source!I39),2)</f>
        <v>0</v>
      </c>
    </row>
    <row r="79" spans="1:12" ht="45">
      <c r="A79" s="28" t="str">
        <f>Source!E40</f>
        <v>7</v>
      </c>
      <c r="B79" s="28" t="str">
        <f>Source!F40</f>
        <v>12-01-001-4</v>
      </c>
      <c r="C79" s="29" t="str">
        <f>Source!G40</f>
        <v>Устройство герметизации швов рулонного покрытия и примыканий</v>
      </c>
      <c r="D79" s="30" t="str">
        <f>Source!H40</f>
        <v>100 м2</v>
      </c>
      <c r="E79" s="13">
        <f>ROUND(Source!I40,6)</f>
        <v>20.95</v>
      </c>
      <c r="F79" s="15">
        <f>IF(Source!AK40&lt;&gt;0,Source!AK40,Source!AL40+Source!AM40+Source!AO40)</f>
        <v>484.28000000000003</v>
      </c>
      <c r="G79" s="13"/>
      <c r="H79" s="13"/>
      <c r="I79" s="31" t="str">
        <f>IF(Source!BO40&lt;&gt;"",Source!BO40,"")</f>
        <v>12-01-001-4</v>
      </c>
      <c r="J79" s="13"/>
      <c r="K79" s="13"/>
      <c r="L79" s="13"/>
    </row>
    <row r="80" spans="1:12" ht="15">
      <c r="A80" s="13"/>
      <c r="B80" s="13"/>
      <c r="C80" s="13" t="s">
        <v>353</v>
      </c>
      <c r="D80" s="13"/>
      <c r="E80" s="13"/>
      <c r="F80" s="15">
        <f>Source!AO40</f>
        <v>150</v>
      </c>
      <c r="G80" s="31">
        <f>Source!DG40</f>
      </c>
      <c r="H80" s="15">
        <f>ROUND((Source!CT40/IF(Source!BA40&lt;&gt;0,Source!BA40,1)*Source!I40),2)</f>
        <v>3142.5</v>
      </c>
      <c r="I80" s="13"/>
      <c r="J80" s="13">
        <f>Source!BA40</f>
        <v>18.36</v>
      </c>
      <c r="K80" s="15">
        <f>Source!S40</f>
        <v>57696.3</v>
      </c>
      <c r="L80" s="13"/>
    </row>
    <row r="81" spans="1:12" ht="15">
      <c r="A81" s="13"/>
      <c r="B81" s="13"/>
      <c r="C81" s="13" t="s">
        <v>128</v>
      </c>
      <c r="D81" s="13"/>
      <c r="E81" s="13"/>
      <c r="F81" s="15">
        <f>Source!AM40</f>
        <v>64.49</v>
      </c>
      <c r="G81" s="31">
        <f>Source!DE40</f>
      </c>
      <c r="H81" s="15">
        <f>ROUND((Source!CR40/IF(Source!BB40&lt;&gt;0,Source!BB40,1)*Source!I40),2)</f>
        <v>1351.07</v>
      </c>
      <c r="I81" s="13"/>
      <c r="J81" s="13">
        <f>Source!BB40</f>
        <v>5.48</v>
      </c>
      <c r="K81" s="15">
        <f>Source!Q40</f>
        <v>7403.84</v>
      </c>
      <c r="L81" s="13"/>
    </row>
    <row r="82" spans="1:12" ht="15">
      <c r="A82" s="13"/>
      <c r="B82" s="13"/>
      <c r="C82" s="13" t="s">
        <v>354</v>
      </c>
      <c r="D82" s="13"/>
      <c r="E82" s="13"/>
      <c r="F82" s="15">
        <f>Source!AN40</f>
        <v>4.19</v>
      </c>
      <c r="G82" s="31">
        <f>Source!DF40</f>
      </c>
      <c r="H82" s="33">
        <f>ROUND((Source!CS40/IF(Source!BS40&lt;&gt;0,Source!BS40,1)*Source!I40),2)</f>
        <v>87.78</v>
      </c>
      <c r="I82" s="13"/>
      <c r="J82" s="13">
        <f>Source!BS40</f>
        <v>18.36</v>
      </c>
      <c r="K82" s="33">
        <f>Source!R40</f>
        <v>1611.65</v>
      </c>
      <c r="L82" s="13"/>
    </row>
    <row r="83" spans="1:12" ht="15">
      <c r="A83" s="13"/>
      <c r="B83" s="13"/>
      <c r="C83" s="13" t="s">
        <v>359</v>
      </c>
      <c r="D83" s="13"/>
      <c r="E83" s="13"/>
      <c r="F83" s="15">
        <f>Source!AL40</f>
        <v>269.79</v>
      </c>
      <c r="G83" s="31">
        <f>Source!DD40</f>
      </c>
      <c r="H83" s="15">
        <f>ROUND((Source!CQ40/IF(Source!BC40&lt;&gt;0,Source!BC40,1)*Source!I40),2)</f>
        <v>5652.1</v>
      </c>
      <c r="I83" s="13"/>
      <c r="J83" s="13">
        <f>Source!BC40</f>
        <v>5.02</v>
      </c>
      <c r="K83" s="15">
        <f>Source!P40</f>
        <v>28373.54</v>
      </c>
      <c r="L83" s="13"/>
    </row>
    <row r="84" spans="1:24" ht="15">
      <c r="A84" s="13"/>
      <c r="B84" s="13"/>
      <c r="C84" s="13" t="s">
        <v>355</v>
      </c>
      <c r="D84" s="16" t="s">
        <v>356</v>
      </c>
      <c r="E84" s="13"/>
      <c r="F84" s="15">
        <f>Source!BZ40</f>
        <v>120</v>
      </c>
      <c r="G84" s="13"/>
      <c r="H84" s="15">
        <f>X84</f>
        <v>3876.34</v>
      </c>
      <c r="I84" s="13" t="str">
        <f>Source!FV40</f>
        <v>((*0.85))</v>
      </c>
      <c r="J84" s="15">
        <f>Source!AT40</f>
        <v>102</v>
      </c>
      <c r="K84" s="15">
        <f>Source!X40</f>
        <v>60494.11</v>
      </c>
      <c r="L84" s="13"/>
      <c r="X84">
        <f>ROUND((Source!FX40/100)*(ROUND((Source!CT40/IF(Source!BA40&lt;&gt;0,Source!BA40,1)*Source!I40),2)+ROUND((Source!CS40/IF(Source!BS40&lt;&gt;0,Source!BS40,1)*Source!I40),2)),2)</f>
        <v>3876.34</v>
      </c>
    </row>
    <row r="85" spans="1:25" ht="15">
      <c r="A85" s="13"/>
      <c r="B85" s="13"/>
      <c r="C85" s="13" t="s">
        <v>144</v>
      </c>
      <c r="D85" s="16" t="s">
        <v>356</v>
      </c>
      <c r="E85" s="13"/>
      <c r="F85" s="15">
        <f>Source!CA40</f>
        <v>65</v>
      </c>
      <c r="G85" s="13"/>
      <c r="H85" s="15">
        <f>Y85</f>
        <v>2099.68</v>
      </c>
      <c r="I85" s="13" t="str">
        <f>Source!FW40</f>
        <v>((*0.8))</v>
      </c>
      <c r="J85" s="15">
        <f>Source!AU40</f>
        <v>52</v>
      </c>
      <c r="K85" s="15">
        <f>Source!Y40</f>
        <v>30840.13</v>
      </c>
      <c r="L85" s="13"/>
      <c r="Y85">
        <f>ROUND((Source!FY40/100)*(ROUND((Source!CT40/IF(Source!BA40&lt;&gt;0,Source!BA40,1)*Source!I40),2)+ROUND((Source!CS40/IF(Source!BS40&lt;&gt;0,Source!BS40,1)*Source!I40),2)),2)</f>
        <v>2099.68</v>
      </c>
    </row>
    <row r="86" spans="1:12" ht="15">
      <c r="A86" s="34"/>
      <c r="B86" s="34"/>
      <c r="C86" s="34" t="s">
        <v>357</v>
      </c>
      <c r="D86" s="35" t="s">
        <v>358</v>
      </c>
      <c r="E86" s="34">
        <f>Source!AQ40</f>
        <v>22.34</v>
      </c>
      <c r="F86" s="34"/>
      <c r="G86" s="36">
        <f>Source!DI40</f>
      </c>
      <c r="H86" s="34"/>
      <c r="I86" s="34"/>
      <c r="J86" s="34"/>
      <c r="K86" s="34"/>
      <c r="L86" s="37">
        <f>Source!U40</f>
        <v>468.02299999999997</v>
      </c>
    </row>
    <row r="87" spans="1:23" ht="15.75">
      <c r="A87" s="13"/>
      <c r="B87" s="13"/>
      <c r="C87" s="13"/>
      <c r="D87" s="13"/>
      <c r="E87" s="13"/>
      <c r="F87" s="13"/>
      <c r="G87" s="13"/>
      <c r="H87" s="38">
        <f>ROUND((Source!CT40/IF(Source!BA40&lt;&gt;0,Source!BA40,1)*Source!I40),2)+ROUND((Source!CR40/IF(Source!BB40&lt;&gt;0,Source!BB40,1)*Source!I40),2)+ROUND((Source!CQ40/IF(Source!BC40&lt;&gt;0,Source!BC40,1)*Source!I40),2)+H84+H85</f>
        <v>16121.69</v>
      </c>
      <c r="I87" s="39"/>
      <c r="J87" s="39"/>
      <c r="K87" s="38">
        <f>Source!O40+K84+K85</f>
        <v>184807.91999999998</v>
      </c>
      <c r="L87" s="38">
        <f>Source!U40</f>
        <v>468.02299999999997</v>
      </c>
      <c r="M87" s="32">
        <f>H87</f>
        <v>16121.69</v>
      </c>
      <c r="N87">
        <f>ROUND((Source!CT40/IF(Source!BA40&lt;&gt;0,Source!BA40,1)*Source!I40),2)</f>
        <v>3142.5</v>
      </c>
      <c r="O87">
        <f>IF(Source!BI40=1,((((Source!CT40/IF(Source!BA40&lt;&gt;0,Source!BA40,1)*Source!I40)+(Source!CR40/IF(Source!BB40&lt;&gt;0,Source!BB40,1)*Source!I40)+(Source!CQ40/IF(Source!BC40&lt;&gt;0,Source!BC40,1)*Source!I40))+((Source!FX40/100)*((Source!CT40/IF(Source!BA40&lt;&gt;0,Source!BA40,1)*Source!I40)+(Source!CS40/IF(Source!BS40&lt;&gt;0,Source!BS40,1)*Source!I40)))+((Source!FY40/100)*((Source!CT40/IF(Source!BA40&lt;&gt;0,Source!BA40,1)*Source!I40)+(Source!CS40/IF(Source!BS40&lt;&gt;0,Source!BS40,1)*Source!I40))))),0)</f>
        <v>16121.684925</v>
      </c>
      <c r="P87">
        <f>IF(Source!BI40=2,((((Source!CT40/IF(Source!BA40&lt;&gt;0,Source!BA40,1)*Source!I40)+(Source!CR40/IF(Source!BB40&lt;&gt;0,Source!BB40,1)*Source!I40)+(Source!CQ40/IF(Source!BC40&lt;&gt;0,Source!BC40,1)*Source!I40))+((Source!FX40/100)*((Source!CT40/IF(Source!BA40&lt;&gt;0,Source!BA40,1)*Source!I40)+(Source!CS40/IF(Source!BS40&lt;&gt;0,Source!BS40,1)*Source!I40)))+((Source!FY40/100)*((Source!CT40/IF(Source!BA40&lt;&gt;0,Source!BA40,1)*Source!I40)+(Source!CS40/IF(Source!BS40&lt;&gt;0,Source!BS40,1)*Source!I40))))),0)</f>
        <v>0</v>
      </c>
      <c r="Q87">
        <f>IF(Source!BI40=3,((((Source!CT40/IF(Source!BA40&lt;&gt;0,Source!BA40,1)*Source!I40)+(Source!CR40/IF(Source!BB40&lt;&gt;0,Source!BB40,1)*Source!I40)+(Source!CQ40/IF(Source!BC40&lt;&gt;0,Source!BC40,1)*Source!I40))+((Source!FX40/100)*((Source!CT40/IF(Source!BA40&lt;&gt;0,Source!BA40,1)*Source!I40)+(Source!CS40/IF(Source!BS40&lt;&gt;0,Source!BS40,1)*Source!I40)))+((Source!FY40/100)*((Source!CT40/IF(Source!BA40&lt;&gt;0,Source!BA40,1)*Source!I40)+(Source!CS40/IF(Source!BS40&lt;&gt;0,Source!BS40,1)*Source!I40))))),0)</f>
        <v>0</v>
      </c>
      <c r="R87">
        <f>IF(Source!BI40=4,((((Source!CT40/IF(Source!BA40&lt;&gt;0,Source!BA40,1)*Source!I40)+(Source!CR40/IF(Source!BB40&lt;&gt;0,Source!BB40,1)*Source!I40)+(Source!CQ40/IF(Source!BC40&lt;&gt;0,Source!BC40,1)*Source!I40))+((Source!FX40/100)*((Source!CT40/IF(Source!BA40&lt;&gt;0,Source!BA40,1)*Source!I40)+(Source!CS40/IF(Source!BS40&lt;&gt;0,Source!BS40,1)*Source!I40)))+((Source!FY40/100)*((Source!CT40/IF(Source!BA40&lt;&gt;0,Source!BA40,1)*Source!I40)+(Source!CS40/IF(Source!BS40&lt;&gt;0,Source!BS40,1)*Source!I40))))),0)</f>
        <v>0</v>
      </c>
      <c r="S87">
        <f>IF(Source!BI40=1,Source!O40+Source!X40+Source!Y40,0)</f>
        <v>184807.91999999998</v>
      </c>
      <c r="T87">
        <f>IF(Source!BI40=2,Source!O40+Source!X40+Source!Y40,0)</f>
        <v>0</v>
      </c>
      <c r="U87">
        <f>IF(Source!BI40=3,Source!O40+Source!X40+Source!Y40,0)</f>
        <v>0</v>
      </c>
      <c r="V87">
        <f>IF(Source!BI40=4,Source!O40+Source!X40+Source!Y40,0)</f>
        <v>0</v>
      </c>
      <c r="W87">
        <f>ROUND((Source!CS40/IF(Source!BS40&lt;&gt;0,Source!BS40,1)*Source!I40),2)</f>
        <v>87.78</v>
      </c>
    </row>
    <row r="88" spans="1:12" ht="30">
      <c r="A88" s="28" t="str">
        <f>Source!E41</f>
        <v>8</v>
      </c>
      <c r="B88" s="28" t="str">
        <f>Source!F41</f>
        <v>прайс-лист</v>
      </c>
      <c r="C88" s="29" t="str">
        <f>Source!G41</f>
        <v>Однокомпонентная резина GPSpraykote</v>
      </c>
      <c r="D88" s="30" t="str">
        <f>Source!H41</f>
        <v>кг</v>
      </c>
      <c r="E88" s="13">
        <f>ROUND(Source!I41,6)</f>
        <v>6494.5</v>
      </c>
      <c r="F88" s="15">
        <f>IF(Source!AK41&lt;&gt;0,Source!AK41,Source!AL41+Source!AM41+Source!AO41)</f>
        <v>299.98</v>
      </c>
      <c r="G88" s="13"/>
      <c r="H88" s="13"/>
      <c r="I88" s="31">
        <f>IF(Source!BO41&lt;&gt;"",Source!BO41,"")</f>
      </c>
      <c r="J88" s="13"/>
      <c r="K88" s="13"/>
      <c r="L88" s="13"/>
    </row>
    <row r="89" spans="1:12" ht="15">
      <c r="A89" s="34"/>
      <c r="B89" s="34"/>
      <c r="C89" s="34" t="s">
        <v>359</v>
      </c>
      <c r="D89" s="34"/>
      <c r="E89" s="34"/>
      <c r="F89" s="37">
        <f>Source!AL41</f>
        <v>299.98</v>
      </c>
      <c r="G89" s="36">
        <f>Source!DD41</f>
      </c>
      <c r="H89" s="37">
        <f>ROUND((Source!CQ41/IF(Source!BC41&lt;&gt;0,Source!BC41,1)*Source!I41),2)</f>
        <v>1948220.11</v>
      </c>
      <c r="I89" s="34"/>
      <c r="J89" s="34">
        <f>Source!BC41</f>
        <v>1</v>
      </c>
      <c r="K89" s="37">
        <f>Source!P41</f>
        <v>1948220.11</v>
      </c>
      <c r="L89" s="34"/>
    </row>
    <row r="90" spans="1:23" ht="15.75">
      <c r="A90" s="13"/>
      <c r="B90" s="13"/>
      <c r="C90" s="13"/>
      <c r="D90" s="13"/>
      <c r="E90" s="13"/>
      <c r="F90" s="13"/>
      <c r="G90" s="13"/>
      <c r="H90" s="38">
        <f>ROUND((Source!CT41/IF(Source!BA41&lt;&gt;0,Source!BA41,1)*Source!I41),2)+ROUND((Source!CR41/IF(Source!BB41&lt;&gt;0,Source!BB41,1)*Source!I41),2)+ROUND((Source!CQ41/IF(Source!BC41&lt;&gt;0,Source!BC41,1)*Source!I41),2)</f>
        <v>1948220.11</v>
      </c>
      <c r="I90" s="39"/>
      <c r="J90" s="39"/>
      <c r="K90" s="38">
        <f>Source!O41</f>
        <v>1948220.11</v>
      </c>
      <c r="L90" s="38">
        <f>Source!U41</f>
        <v>0</v>
      </c>
      <c r="M90" s="32">
        <f>H90</f>
        <v>1948220.11</v>
      </c>
      <c r="N90">
        <f>ROUND((Source!CT41/IF(Source!BA41&lt;&gt;0,Source!BA41,1)*Source!I41),2)</f>
        <v>0</v>
      </c>
      <c r="O90">
        <f>IF(Source!BI41=1,((((Source!CT41/IF(Source!BA41&lt;&gt;0,Source!BA41,1)*Source!I41)+(Source!CR41/IF(Source!BB41&lt;&gt;0,Source!BB41,1)*Source!I41)+(Source!CQ41/IF(Source!BC41&lt;&gt;0,Source!BC41,1)*Source!I41))+((Source!FX41/100)*((Source!CT41/IF(Source!BA41&lt;&gt;0,Source!BA41,1)*Source!I41)+(Source!CS41/IF(Source!BS41&lt;&gt;0,Source!BS41,1)*Source!I41)))+((Source!FY41/100)*((Source!CT41/IF(Source!BA41&lt;&gt;0,Source!BA41,1)*Source!I41)+(Source!CS41/IF(Source!BS41&lt;&gt;0,Source!BS41,1)*Source!I41))))),0)</f>
        <v>0</v>
      </c>
      <c r="P90">
        <f>IF(Source!BI41=2,((((Source!CT41/IF(Source!BA41&lt;&gt;0,Source!BA41,1)*Source!I41)+(Source!CR41/IF(Source!BB41&lt;&gt;0,Source!BB41,1)*Source!I41)+(Source!CQ41/IF(Source!BC41&lt;&gt;0,Source!BC41,1)*Source!I41))+((Source!FX41/100)*((Source!CT41/IF(Source!BA41&lt;&gt;0,Source!BA41,1)*Source!I41)+(Source!CS41/IF(Source!BS41&lt;&gt;0,Source!BS41,1)*Source!I41)))+((Source!FY41/100)*((Source!CT41/IF(Source!BA41&lt;&gt;0,Source!BA41,1)*Source!I41)+(Source!CS41/IF(Source!BS41&lt;&gt;0,Source!BS41,1)*Source!I41))))),0)</f>
        <v>0</v>
      </c>
      <c r="Q90">
        <f>IF(Source!BI41=3,((((Source!CT41/IF(Source!BA41&lt;&gt;0,Source!BA41,1)*Source!I41)+(Source!CR41/IF(Source!BB41&lt;&gt;0,Source!BB41,1)*Source!I41)+(Source!CQ41/IF(Source!BC41&lt;&gt;0,Source!BC41,1)*Source!I41))+((Source!FX41/100)*((Source!CT41/IF(Source!BA41&lt;&gt;0,Source!BA41,1)*Source!I41)+(Source!CS41/IF(Source!BS41&lt;&gt;0,Source!BS41,1)*Source!I41)))+((Source!FY41/100)*((Source!CT41/IF(Source!BA41&lt;&gt;0,Source!BA41,1)*Source!I41)+(Source!CS41/IF(Source!BS41&lt;&gt;0,Source!BS41,1)*Source!I41))))),0)</f>
        <v>0</v>
      </c>
      <c r="R90">
        <f>IF(Source!BI41=4,((((Source!CT41/IF(Source!BA41&lt;&gt;0,Source!BA41,1)*Source!I41)+(Source!CR41/IF(Source!BB41&lt;&gt;0,Source!BB41,1)*Source!I41)+(Source!CQ41/IF(Source!BC41&lt;&gt;0,Source!BC41,1)*Source!I41))+((Source!FX41/100)*((Source!CT41/IF(Source!BA41&lt;&gt;0,Source!BA41,1)*Source!I41)+(Source!CS41/IF(Source!BS41&lt;&gt;0,Source!BS41,1)*Source!I41)))+((Source!FY41/100)*((Source!CT41/IF(Source!BA41&lt;&gt;0,Source!BA41,1)*Source!I41)+(Source!CS41/IF(Source!BS41&lt;&gt;0,Source!BS41,1)*Source!I41))))),0)</f>
        <v>1948220.11</v>
      </c>
      <c r="S90">
        <f>IF(Source!BI41=1,Source!O41+Source!X41+Source!Y41,0)</f>
        <v>0</v>
      </c>
      <c r="T90">
        <f>IF(Source!BI41=2,Source!O41+Source!X41+Source!Y41,0)</f>
        <v>0</v>
      </c>
      <c r="U90">
        <f>IF(Source!BI41=3,Source!O41+Source!X41+Source!Y41,0)</f>
        <v>0</v>
      </c>
      <c r="V90">
        <f>IF(Source!BI41=4,Source!O41+Source!X41+Source!Y41,0)</f>
        <v>1948220.11</v>
      </c>
      <c r="W90">
        <f>ROUND((Source!CS41/IF(Source!BS41&lt;&gt;0,Source!BS41,1)*Source!I41),2)</f>
        <v>0</v>
      </c>
    </row>
    <row r="91" spans="1:12" ht="45">
      <c r="A91" s="28" t="str">
        <f>Source!E42</f>
        <v>9</v>
      </c>
      <c r="B91" s="28" t="str">
        <f>Source!F42</f>
        <v>12-01-015-3</v>
      </c>
      <c r="C91" s="29" t="str">
        <f>Source!G42</f>
        <v>Армирование геотекстилем швов рулонного покрытия и примыканий</v>
      </c>
      <c r="D91" s="30" t="str">
        <f>Source!H42</f>
        <v>100 м2</v>
      </c>
      <c r="E91" s="13">
        <f>ROUND(Source!I42,6)</f>
        <v>20.95</v>
      </c>
      <c r="F91" s="15">
        <f>IF(Source!AK42&lt;&gt;0,Source!AK42,Source!AL42+Source!AM42+Source!AO42)</f>
        <v>950.71</v>
      </c>
      <c r="G91" s="13"/>
      <c r="H91" s="13"/>
      <c r="I91" s="31" t="str">
        <f>IF(Source!BO42&lt;&gt;"",Source!BO42,"")</f>
        <v>12-01-015-3</v>
      </c>
      <c r="J91" s="13"/>
      <c r="K91" s="13"/>
      <c r="L91" s="13"/>
    </row>
    <row r="92" spans="1:12" ht="15">
      <c r="A92" s="13"/>
      <c r="B92" s="13"/>
      <c r="C92" s="13" t="s">
        <v>353</v>
      </c>
      <c r="D92" s="13"/>
      <c r="E92" s="13"/>
      <c r="F92" s="15">
        <f>Source!AO42</f>
        <v>68.52</v>
      </c>
      <c r="G92" s="31">
        <f>Source!DG42</f>
      </c>
      <c r="H92" s="15">
        <f>ROUND((Source!CT42/IF(Source!BA42&lt;&gt;0,Source!BA42,1)*Source!I42),2)</f>
        <v>1435.49</v>
      </c>
      <c r="I92" s="13"/>
      <c r="J92" s="13">
        <f>Source!BA42</f>
        <v>18.36</v>
      </c>
      <c r="K92" s="15">
        <f>Source!S42</f>
        <v>26355.67</v>
      </c>
      <c r="L92" s="13"/>
    </row>
    <row r="93" spans="1:12" ht="15">
      <c r="A93" s="13"/>
      <c r="B93" s="13"/>
      <c r="C93" s="13" t="s">
        <v>128</v>
      </c>
      <c r="D93" s="13"/>
      <c r="E93" s="13"/>
      <c r="F93" s="15">
        <f>Source!AM42</f>
        <v>31.79</v>
      </c>
      <c r="G93" s="31">
        <f>Source!DE42</f>
      </c>
      <c r="H93" s="15">
        <f>ROUND((Source!CR42/IF(Source!BB42&lt;&gt;0,Source!BB42,1)*Source!I42),2)</f>
        <v>666</v>
      </c>
      <c r="I93" s="13"/>
      <c r="J93" s="13">
        <f>Source!BB42</f>
        <v>4.94</v>
      </c>
      <c r="K93" s="15">
        <f>Source!Q42</f>
        <v>3290.04</v>
      </c>
      <c r="L93" s="13"/>
    </row>
    <row r="94" spans="1:12" ht="15">
      <c r="A94" s="13"/>
      <c r="B94" s="13"/>
      <c r="C94" s="13" t="s">
        <v>354</v>
      </c>
      <c r="D94" s="13"/>
      <c r="E94" s="13"/>
      <c r="F94" s="15">
        <f>Source!AN42</f>
        <v>1.76</v>
      </c>
      <c r="G94" s="31">
        <f>Source!DF42</f>
      </c>
      <c r="H94" s="33">
        <f>ROUND((Source!CS42/IF(Source!BS42&lt;&gt;0,Source!BS42,1)*Source!I42),2)</f>
        <v>36.87</v>
      </c>
      <c r="I94" s="13"/>
      <c r="J94" s="13">
        <f>Source!BS42</f>
        <v>18.36</v>
      </c>
      <c r="K94" s="33">
        <f>Source!R42</f>
        <v>676.97</v>
      </c>
      <c r="L94" s="13"/>
    </row>
    <row r="95" spans="1:24" ht="15">
      <c r="A95" s="13"/>
      <c r="B95" s="13"/>
      <c r="C95" s="13" t="s">
        <v>355</v>
      </c>
      <c r="D95" s="16" t="s">
        <v>356</v>
      </c>
      <c r="E95" s="13"/>
      <c r="F95" s="15">
        <f>Source!BZ42</f>
        <v>120</v>
      </c>
      <c r="G95" s="13"/>
      <c r="H95" s="15">
        <f>X95</f>
        <v>1766.83</v>
      </c>
      <c r="I95" s="13" t="str">
        <f>Source!FV42</f>
        <v>((*0.85))</v>
      </c>
      <c r="J95" s="15">
        <f>Source!AT42</f>
        <v>102</v>
      </c>
      <c r="K95" s="15">
        <f>Source!X42</f>
        <v>27573.29</v>
      </c>
      <c r="L95" s="13"/>
      <c r="X95">
        <f>ROUND((Source!FX42/100)*(ROUND((Source!CT42/IF(Source!BA42&lt;&gt;0,Source!BA42,1)*Source!I42),2)+ROUND((Source!CS42/IF(Source!BS42&lt;&gt;0,Source!BS42,1)*Source!I42),2)),2)</f>
        <v>1766.83</v>
      </c>
    </row>
    <row r="96" spans="1:25" ht="15">
      <c r="A96" s="13"/>
      <c r="B96" s="13"/>
      <c r="C96" s="13" t="s">
        <v>144</v>
      </c>
      <c r="D96" s="16" t="s">
        <v>356</v>
      </c>
      <c r="E96" s="13"/>
      <c r="F96" s="15">
        <f>Source!CA42</f>
        <v>65</v>
      </c>
      <c r="G96" s="13"/>
      <c r="H96" s="15">
        <f>Y96</f>
        <v>957.03</v>
      </c>
      <c r="I96" s="13" t="str">
        <f>Source!FW42</f>
        <v>((*0.8))</v>
      </c>
      <c r="J96" s="15">
        <f>Source!AU42</f>
        <v>52</v>
      </c>
      <c r="K96" s="15">
        <f>Source!Y42</f>
        <v>14056.97</v>
      </c>
      <c r="L96" s="13"/>
      <c r="Y96">
        <f>ROUND((Source!FY42/100)*(ROUND((Source!CT42/IF(Source!BA42&lt;&gt;0,Source!BA42,1)*Source!I42),2)+ROUND((Source!CS42/IF(Source!BS42&lt;&gt;0,Source!BS42,1)*Source!I42),2)),2)</f>
        <v>957.03</v>
      </c>
    </row>
    <row r="97" spans="1:12" ht="15">
      <c r="A97" s="34"/>
      <c r="B97" s="34"/>
      <c r="C97" s="34" t="s">
        <v>357</v>
      </c>
      <c r="D97" s="35" t="s">
        <v>358</v>
      </c>
      <c r="E97" s="34">
        <f>Source!AQ42</f>
        <v>7.84</v>
      </c>
      <c r="F97" s="34"/>
      <c r="G97" s="36">
        <f>Source!DI42</f>
      </c>
      <c r="H97" s="34"/>
      <c r="I97" s="34"/>
      <c r="J97" s="34"/>
      <c r="K97" s="34"/>
      <c r="L97" s="37">
        <f>Source!U42</f>
        <v>164.248</v>
      </c>
    </row>
    <row r="98" spans="1:23" ht="15.75">
      <c r="A98" s="13"/>
      <c r="B98" s="13"/>
      <c r="C98" s="13"/>
      <c r="D98" s="13"/>
      <c r="E98" s="13"/>
      <c r="F98" s="13"/>
      <c r="G98" s="13"/>
      <c r="H98" s="38">
        <f>ROUND((Source!CT42/IF(Source!BA42&lt;&gt;0,Source!BA42,1)*Source!I42),2)+ROUND((Source!CR42/IF(Source!BB42&lt;&gt;0,Source!BB42,1)*Source!I42),2)+ROUND((Source!CQ42/IF(Source!BC42&lt;&gt;0,Source!BC42,1)*Source!I42),2)+H95+H96</f>
        <v>4825.349999999999</v>
      </c>
      <c r="I98" s="39"/>
      <c r="J98" s="39"/>
      <c r="K98" s="38">
        <f>Source!O42+K95+K96</f>
        <v>71275.97</v>
      </c>
      <c r="L98" s="38">
        <f>Source!U42</f>
        <v>164.248</v>
      </c>
      <c r="M98" s="32">
        <f>H98</f>
        <v>4825.349999999999</v>
      </c>
      <c r="N98">
        <f>ROUND((Source!CT42/IF(Source!BA42&lt;&gt;0,Source!BA42,1)*Source!I42),2)</f>
        <v>1435.49</v>
      </c>
      <c r="O98">
        <f>IF(Source!BI42=1,((((Source!CT42/IF(Source!BA42&lt;&gt;0,Source!BA42,1)*Source!I42)+(Source!CR42/IF(Source!BB42&lt;&gt;0,Source!BB42,1)*Source!I42)+(Source!CQ42/IF(Source!BC42&lt;&gt;0,Source!BC42,1)*Source!I42))+((Source!FX42/100)*((Source!CT42/IF(Source!BA42&lt;&gt;0,Source!BA42,1)*Source!I42)+(Source!CS42/IF(Source!BS42&lt;&gt;0,Source!BS42,1)*Source!I42)))+((Source!FY42/100)*((Source!CT42/IF(Source!BA42&lt;&gt;0,Source!BA42,1)*Source!I42)+(Source!CS42/IF(Source!BS42&lt;&gt;0,Source!BS42,1)*Source!I42))))),0)</f>
        <v>4825.3715999999995</v>
      </c>
      <c r="P98">
        <f>IF(Source!BI42=2,((((Source!CT42/IF(Source!BA42&lt;&gt;0,Source!BA42,1)*Source!I42)+(Source!CR42/IF(Source!BB42&lt;&gt;0,Source!BB42,1)*Source!I42)+(Source!CQ42/IF(Source!BC42&lt;&gt;0,Source!BC42,1)*Source!I42))+((Source!FX42/100)*((Source!CT42/IF(Source!BA42&lt;&gt;0,Source!BA42,1)*Source!I42)+(Source!CS42/IF(Source!BS42&lt;&gt;0,Source!BS42,1)*Source!I42)))+((Source!FY42/100)*((Source!CT42/IF(Source!BA42&lt;&gt;0,Source!BA42,1)*Source!I42)+(Source!CS42/IF(Source!BS42&lt;&gt;0,Source!BS42,1)*Source!I42))))),0)</f>
        <v>0</v>
      </c>
      <c r="Q98">
        <f>IF(Source!BI42=3,((((Source!CT42/IF(Source!BA42&lt;&gt;0,Source!BA42,1)*Source!I42)+(Source!CR42/IF(Source!BB42&lt;&gt;0,Source!BB42,1)*Source!I42)+(Source!CQ42/IF(Source!BC42&lt;&gt;0,Source!BC42,1)*Source!I42))+((Source!FX42/100)*((Source!CT42/IF(Source!BA42&lt;&gt;0,Source!BA42,1)*Source!I42)+(Source!CS42/IF(Source!BS42&lt;&gt;0,Source!BS42,1)*Source!I42)))+((Source!FY42/100)*((Source!CT42/IF(Source!BA42&lt;&gt;0,Source!BA42,1)*Source!I42)+(Source!CS42/IF(Source!BS42&lt;&gt;0,Source!BS42,1)*Source!I42))))),0)</f>
        <v>0</v>
      </c>
      <c r="R98">
        <f>IF(Source!BI42=4,((((Source!CT42/IF(Source!BA42&lt;&gt;0,Source!BA42,1)*Source!I42)+(Source!CR42/IF(Source!BB42&lt;&gt;0,Source!BB42,1)*Source!I42)+(Source!CQ42/IF(Source!BC42&lt;&gt;0,Source!BC42,1)*Source!I42))+((Source!FX42/100)*((Source!CT42/IF(Source!BA42&lt;&gt;0,Source!BA42,1)*Source!I42)+(Source!CS42/IF(Source!BS42&lt;&gt;0,Source!BS42,1)*Source!I42)))+((Source!FY42/100)*((Source!CT42/IF(Source!BA42&lt;&gt;0,Source!BA42,1)*Source!I42)+(Source!CS42/IF(Source!BS42&lt;&gt;0,Source!BS42,1)*Source!I42))))),0)</f>
        <v>0</v>
      </c>
      <c r="S98">
        <f>IF(Source!BI42=1,Source!O42+Source!X42+Source!Y42,0)</f>
        <v>71275.97</v>
      </c>
      <c r="T98">
        <f>IF(Source!BI42=2,Source!O42+Source!X42+Source!Y42,0)</f>
        <v>0</v>
      </c>
      <c r="U98">
        <f>IF(Source!BI42=3,Source!O42+Source!X42+Source!Y42,0)</f>
        <v>0</v>
      </c>
      <c r="V98">
        <f>IF(Source!BI42=4,Source!O42+Source!X42+Source!Y42,0)</f>
        <v>0</v>
      </c>
      <c r="W98">
        <f>ROUND((Source!CS42/IF(Source!BS42&lt;&gt;0,Source!BS42,1)*Source!I42),2)</f>
        <v>36.87</v>
      </c>
    </row>
    <row r="99" spans="1:12" ht="30">
      <c r="A99" s="28" t="str">
        <f>Source!E43</f>
        <v>10</v>
      </c>
      <c r="B99" s="28" t="str">
        <f>Source!F43</f>
        <v>СЦМ-101-0792</v>
      </c>
      <c r="C99" s="29" t="str">
        <f>Source!G43</f>
        <v>Полотно иглопробивное</v>
      </c>
      <c r="D99" s="30" t="str">
        <f>Source!H43</f>
        <v>10М2</v>
      </c>
      <c r="E99" s="13">
        <f>ROUND(Source!I43,6)</f>
        <v>209.5</v>
      </c>
      <c r="F99" s="15">
        <f>IF(Source!AK43&lt;&gt;0,Source!AK43,Source!AL43+Source!AM43+Source!AO43)</f>
        <v>1550.08</v>
      </c>
      <c r="G99" s="13"/>
      <c r="H99" s="13"/>
      <c r="I99" s="31">
        <f>IF(Source!BO43&lt;&gt;"",Source!BO43,"")</f>
      </c>
      <c r="J99" s="13"/>
      <c r="K99" s="13"/>
      <c r="L99" s="13"/>
    </row>
    <row r="100" spans="1:12" ht="15">
      <c r="A100" s="34"/>
      <c r="B100" s="34"/>
      <c r="C100" s="34" t="s">
        <v>359</v>
      </c>
      <c r="D100" s="34"/>
      <c r="E100" s="34"/>
      <c r="F100" s="37">
        <f>Source!AL43</f>
        <v>1550.08</v>
      </c>
      <c r="G100" s="36">
        <f>Source!DD43</f>
      </c>
      <c r="H100" s="37">
        <f>ROUND((Source!CQ43/IF(Source!BC43&lt;&gt;0,Source!BC43,1)*Source!I43),2)</f>
        <v>324741.76</v>
      </c>
      <c r="I100" s="34"/>
      <c r="J100" s="34">
        <f>Source!BC43</f>
        <v>1</v>
      </c>
      <c r="K100" s="37">
        <f>Source!P43</f>
        <v>324741.76</v>
      </c>
      <c r="L100" s="34"/>
    </row>
    <row r="101" spans="1:23" ht="15.75">
      <c r="A101" s="13"/>
      <c r="B101" s="13"/>
      <c r="C101" s="13"/>
      <c r="D101" s="13"/>
      <c r="E101" s="13"/>
      <c r="F101" s="13"/>
      <c r="G101" s="13"/>
      <c r="H101" s="38">
        <f>ROUND((Source!CT43/IF(Source!BA43&lt;&gt;0,Source!BA43,1)*Source!I43),2)+ROUND((Source!CR43/IF(Source!BB43&lt;&gt;0,Source!BB43,1)*Source!I43),2)+ROUND((Source!CQ43/IF(Source!BC43&lt;&gt;0,Source!BC43,1)*Source!I43),2)</f>
        <v>324741.76</v>
      </c>
      <c r="I101" s="39"/>
      <c r="J101" s="39"/>
      <c r="K101" s="38">
        <f>Source!O43</f>
        <v>324741.76</v>
      </c>
      <c r="L101" s="38">
        <f>Source!U43</f>
        <v>0</v>
      </c>
      <c r="M101" s="32">
        <f>H101</f>
        <v>324741.76</v>
      </c>
      <c r="N101">
        <f>ROUND((Source!CT43/IF(Source!BA43&lt;&gt;0,Source!BA43,1)*Source!I43),2)</f>
        <v>0</v>
      </c>
      <c r="O101">
        <f>IF(Source!BI43=1,((((Source!CT43/IF(Source!BA43&lt;&gt;0,Source!BA43,1)*Source!I43)+(Source!CR43/IF(Source!BB43&lt;&gt;0,Source!BB43,1)*Source!I43)+(Source!CQ43/IF(Source!BC43&lt;&gt;0,Source!BC43,1)*Source!I43))+((Source!FX43/100)*((Source!CT43/IF(Source!BA43&lt;&gt;0,Source!BA43,1)*Source!I43)+(Source!CS43/IF(Source!BS43&lt;&gt;0,Source!BS43,1)*Source!I43)))+((Source!FY43/100)*((Source!CT43/IF(Source!BA43&lt;&gt;0,Source!BA43,1)*Source!I43)+(Source!CS43/IF(Source!BS43&lt;&gt;0,Source!BS43,1)*Source!I43))))),0)</f>
        <v>0</v>
      </c>
      <c r="P101">
        <f>IF(Source!BI43=2,((((Source!CT43/IF(Source!BA43&lt;&gt;0,Source!BA43,1)*Source!I43)+(Source!CR43/IF(Source!BB43&lt;&gt;0,Source!BB43,1)*Source!I43)+(Source!CQ43/IF(Source!BC43&lt;&gt;0,Source!BC43,1)*Source!I43))+((Source!FX43/100)*((Source!CT43/IF(Source!BA43&lt;&gt;0,Source!BA43,1)*Source!I43)+(Source!CS43/IF(Source!BS43&lt;&gt;0,Source!BS43,1)*Source!I43)))+((Source!FY43/100)*((Source!CT43/IF(Source!BA43&lt;&gt;0,Source!BA43,1)*Source!I43)+(Source!CS43/IF(Source!BS43&lt;&gt;0,Source!BS43,1)*Source!I43))))),0)</f>
        <v>0</v>
      </c>
      <c r="Q101">
        <f>IF(Source!BI43=3,((((Source!CT43/IF(Source!BA43&lt;&gt;0,Source!BA43,1)*Source!I43)+(Source!CR43/IF(Source!BB43&lt;&gt;0,Source!BB43,1)*Source!I43)+(Source!CQ43/IF(Source!BC43&lt;&gt;0,Source!BC43,1)*Source!I43))+((Source!FX43/100)*((Source!CT43/IF(Source!BA43&lt;&gt;0,Source!BA43,1)*Source!I43)+(Source!CS43/IF(Source!BS43&lt;&gt;0,Source!BS43,1)*Source!I43)))+((Source!FY43/100)*((Source!CT43/IF(Source!BA43&lt;&gt;0,Source!BA43,1)*Source!I43)+(Source!CS43/IF(Source!BS43&lt;&gt;0,Source!BS43,1)*Source!I43))))),0)</f>
        <v>0</v>
      </c>
      <c r="R101">
        <f>IF(Source!BI43=4,((((Source!CT43/IF(Source!BA43&lt;&gt;0,Source!BA43,1)*Source!I43)+(Source!CR43/IF(Source!BB43&lt;&gt;0,Source!BB43,1)*Source!I43)+(Source!CQ43/IF(Source!BC43&lt;&gt;0,Source!BC43,1)*Source!I43))+((Source!FX43/100)*((Source!CT43/IF(Source!BA43&lt;&gt;0,Source!BA43,1)*Source!I43)+(Source!CS43/IF(Source!BS43&lt;&gt;0,Source!BS43,1)*Source!I43)))+((Source!FY43/100)*((Source!CT43/IF(Source!BA43&lt;&gt;0,Source!BA43,1)*Source!I43)+(Source!CS43/IF(Source!BS43&lt;&gt;0,Source!BS43,1)*Source!I43))))),0)</f>
        <v>324741.76</v>
      </c>
      <c r="S101">
        <f>IF(Source!BI43=1,Source!O43+Source!X43+Source!Y43,0)</f>
        <v>0</v>
      </c>
      <c r="T101">
        <f>IF(Source!BI43=2,Source!O43+Source!X43+Source!Y43,0)</f>
        <v>0</v>
      </c>
      <c r="U101">
        <f>IF(Source!BI43=3,Source!O43+Source!X43+Source!Y43,0)</f>
        <v>0</v>
      </c>
      <c r="V101">
        <f>IF(Source!BI43=4,Source!O43+Source!X43+Source!Y43,0)</f>
        <v>324741.76</v>
      </c>
      <c r="W101">
        <f>ROUND((Source!CS43/IF(Source!BS43&lt;&gt;0,Source!BS43,1)*Source!I43),2)</f>
        <v>0</v>
      </c>
    </row>
    <row r="102" spans="1:12" ht="30">
      <c r="A102" s="28" t="str">
        <f>Source!E44</f>
        <v>11</v>
      </c>
      <c r="B102" s="28" t="str">
        <f>Source!F44</f>
        <v>62-41-1</v>
      </c>
      <c r="C102" s="29" t="str">
        <f>Source!G44</f>
        <v>Очистка конструкций с обеспыливанием</v>
      </c>
      <c r="D102" s="30" t="str">
        <f>Source!H44</f>
        <v>100 м2</v>
      </c>
      <c r="E102" s="13">
        <f>ROUND(Source!I44,6)</f>
        <v>69.63</v>
      </c>
      <c r="F102" s="15">
        <f>IF(Source!AK44&lt;&gt;0,Source!AK44,Source!AL44+Source!AM44+Source!AO44)</f>
        <v>132.24</v>
      </c>
      <c r="G102" s="13"/>
      <c r="H102" s="13"/>
      <c r="I102" s="31" t="str">
        <f>IF(Source!BO44&lt;&gt;"",Source!BO44,"")</f>
        <v>62-41-1</v>
      </c>
      <c r="J102" s="13"/>
      <c r="K102" s="13"/>
      <c r="L102" s="13"/>
    </row>
    <row r="103" spans="1:12" ht="15">
      <c r="A103" s="13"/>
      <c r="B103" s="13"/>
      <c r="C103" s="13" t="s">
        <v>353</v>
      </c>
      <c r="D103" s="13"/>
      <c r="E103" s="13"/>
      <c r="F103" s="15">
        <f>Source!AO44</f>
        <v>132.24</v>
      </c>
      <c r="G103" s="31">
        <f>Source!DG44</f>
      </c>
      <c r="H103" s="15">
        <f>ROUND((Source!CT44/IF(Source!BA44&lt;&gt;0,Source!BA44,1)*Source!I44),2)</f>
        <v>9207.87</v>
      </c>
      <c r="I103" s="13"/>
      <c r="J103" s="13">
        <f>Source!BA44</f>
        <v>18.36</v>
      </c>
      <c r="K103" s="15">
        <f>Source!S44</f>
        <v>169056.52</v>
      </c>
      <c r="L103" s="13"/>
    </row>
    <row r="104" spans="1:24" ht="15">
      <c r="A104" s="13"/>
      <c r="B104" s="13"/>
      <c r="C104" s="13" t="s">
        <v>355</v>
      </c>
      <c r="D104" s="16" t="s">
        <v>356</v>
      </c>
      <c r="E104" s="13"/>
      <c r="F104" s="15">
        <f>Source!BZ44</f>
        <v>80</v>
      </c>
      <c r="G104" s="13"/>
      <c r="H104" s="15">
        <f>X104</f>
        <v>7366.3</v>
      </c>
      <c r="I104" s="13" t="str">
        <f>Source!FV44</f>
        <v>((*0.85))</v>
      </c>
      <c r="J104" s="15">
        <f>Source!AT44</f>
        <v>68</v>
      </c>
      <c r="K104" s="15">
        <f>Source!X44</f>
        <v>114958.43</v>
      </c>
      <c r="L104" s="13"/>
      <c r="X104">
        <f>ROUND((Source!FX44/100)*(ROUND((Source!CT44/IF(Source!BA44&lt;&gt;0,Source!BA44,1)*Source!I44),2)+ROUND((Source!CS44/IF(Source!BS44&lt;&gt;0,Source!BS44,1)*Source!I44),2)),2)</f>
        <v>7366.3</v>
      </c>
    </row>
    <row r="105" spans="1:25" ht="15">
      <c r="A105" s="13"/>
      <c r="B105" s="13"/>
      <c r="C105" s="13" t="s">
        <v>144</v>
      </c>
      <c r="D105" s="16" t="s">
        <v>356</v>
      </c>
      <c r="E105" s="13"/>
      <c r="F105" s="15">
        <f>Source!CA44</f>
        <v>50</v>
      </c>
      <c r="G105" s="13"/>
      <c r="H105" s="15">
        <f>Y105</f>
        <v>4603.94</v>
      </c>
      <c r="I105" s="13" t="str">
        <f>Source!FW44</f>
        <v>((*0.8))</v>
      </c>
      <c r="J105" s="15">
        <f>Source!AU44</f>
        <v>40</v>
      </c>
      <c r="K105" s="15">
        <f>Source!Y44</f>
        <v>67622.61</v>
      </c>
      <c r="L105" s="13"/>
      <c r="Y105">
        <f>ROUND((Source!FY44/100)*(ROUND((Source!CT44/IF(Source!BA44&lt;&gt;0,Source!BA44,1)*Source!I44),2)+ROUND((Source!CS44/IF(Source!BS44&lt;&gt;0,Source!BS44,1)*Source!I44),2)),2)</f>
        <v>4603.94</v>
      </c>
    </row>
    <row r="106" spans="1:12" ht="15">
      <c r="A106" s="34"/>
      <c r="B106" s="34"/>
      <c r="C106" s="34" t="s">
        <v>357</v>
      </c>
      <c r="D106" s="35" t="s">
        <v>358</v>
      </c>
      <c r="E106" s="34">
        <f>Source!AQ44</f>
        <v>20.8</v>
      </c>
      <c r="F106" s="34"/>
      <c r="G106" s="36">
        <f>Source!DI44</f>
      </c>
      <c r="H106" s="34"/>
      <c r="I106" s="34"/>
      <c r="J106" s="34"/>
      <c r="K106" s="34"/>
      <c r="L106" s="37">
        <f>Source!U44</f>
        <v>1448.3039999999999</v>
      </c>
    </row>
    <row r="107" spans="1:23" ht="15.75">
      <c r="A107" s="13"/>
      <c r="B107" s="13"/>
      <c r="C107" s="13"/>
      <c r="D107" s="13"/>
      <c r="E107" s="13"/>
      <c r="F107" s="13"/>
      <c r="G107" s="13"/>
      <c r="H107" s="38">
        <f>ROUND((Source!CT44/IF(Source!BA44&lt;&gt;0,Source!BA44,1)*Source!I44),2)+ROUND((Source!CR44/IF(Source!BB44&lt;&gt;0,Source!BB44,1)*Source!I44),2)+ROUND((Source!CQ44/IF(Source!BC44&lt;&gt;0,Source!BC44,1)*Source!I44),2)+H104+H105</f>
        <v>21178.11</v>
      </c>
      <c r="I107" s="39"/>
      <c r="J107" s="39"/>
      <c r="K107" s="38">
        <f>Source!O44+K104+K105</f>
        <v>351637.55999999994</v>
      </c>
      <c r="L107" s="38">
        <f>Source!U44</f>
        <v>1448.3039999999999</v>
      </c>
      <c r="M107" s="32">
        <f>H107</f>
        <v>21178.11</v>
      </c>
      <c r="N107">
        <f>ROUND((Source!CT44/IF(Source!BA44&lt;&gt;0,Source!BA44,1)*Source!I44),2)</f>
        <v>9207.87</v>
      </c>
      <c r="O107">
        <f>IF(Source!BI44=1,((((Source!CT44/IF(Source!BA44&lt;&gt;0,Source!BA44,1)*Source!I44)+(Source!CR44/IF(Source!BB44&lt;&gt;0,Source!BB44,1)*Source!I44)+(Source!CQ44/IF(Source!BC44&lt;&gt;0,Source!BC44,1)*Source!I44))+((Source!FX44/100)*((Source!CT44/IF(Source!BA44&lt;&gt;0,Source!BA44,1)*Source!I44)+(Source!CS44/IF(Source!BS44&lt;&gt;0,Source!BS44,1)*Source!I44)))+((Source!FY44/100)*((Source!CT44/IF(Source!BA44&lt;&gt;0,Source!BA44,1)*Source!I44)+(Source!CS44/IF(Source!BS44&lt;&gt;0,Source!BS44,1)*Source!I44))))),0)</f>
        <v>21178.10376</v>
      </c>
      <c r="P107">
        <f>IF(Source!BI44=2,((((Source!CT44/IF(Source!BA44&lt;&gt;0,Source!BA44,1)*Source!I44)+(Source!CR44/IF(Source!BB44&lt;&gt;0,Source!BB44,1)*Source!I44)+(Source!CQ44/IF(Source!BC44&lt;&gt;0,Source!BC44,1)*Source!I44))+((Source!FX44/100)*((Source!CT44/IF(Source!BA44&lt;&gt;0,Source!BA44,1)*Source!I44)+(Source!CS44/IF(Source!BS44&lt;&gt;0,Source!BS44,1)*Source!I44)))+((Source!FY44/100)*((Source!CT44/IF(Source!BA44&lt;&gt;0,Source!BA44,1)*Source!I44)+(Source!CS44/IF(Source!BS44&lt;&gt;0,Source!BS44,1)*Source!I44))))),0)</f>
        <v>0</v>
      </c>
      <c r="Q107">
        <f>IF(Source!BI44=3,((((Source!CT44/IF(Source!BA44&lt;&gt;0,Source!BA44,1)*Source!I44)+(Source!CR44/IF(Source!BB44&lt;&gt;0,Source!BB44,1)*Source!I44)+(Source!CQ44/IF(Source!BC44&lt;&gt;0,Source!BC44,1)*Source!I44))+((Source!FX44/100)*((Source!CT44/IF(Source!BA44&lt;&gt;0,Source!BA44,1)*Source!I44)+(Source!CS44/IF(Source!BS44&lt;&gt;0,Source!BS44,1)*Source!I44)))+((Source!FY44/100)*((Source!CT44/IF(Source!BA44&lt;&gt;0,Source!BA44,1)*Source!I44)+(Source!CS44/IF(Source!BS44&lt;&gt;0,Source!BS44,1)*Source!I44))))),0)</f>
        <v>0</v>
      </c>
      <c r="R107">
        <f>IF(Source!BI44=4,((((Source!CT44/IF(Source!BA44&lt;&gt;0,Source!BA44,1)*Source!I44)+(Source!CR44/IF(Source!BB44&lt;&gt;0,Source!BB44,1)*Source!I44)+(Source!CQ44/IF(Source!BC44&lt;&gt;0,Source!BC44,1)*Source!I44))+((Source!FX44/100)*((Source!CT44/IF(Source!BA44&lt;&gt;0,Source!BA44,1)*Source!I44)+(Source!CS44/IF(Source!BS44&lt;&gt;0,Source!BS44,1)*Source!I44)))+((Source!FY44/100)*((Source!CT44/IF(Source!BA44&lt;&gt;0,Source!BA44,1)*Source!I44)+(Source!CS44/IF(Source!BS44&lt;&gt;0,Source!BS44,1)*Source!I44))))),0)</f>
        <v>0</v>
      </c>
      <c r="S107">
        <f>IF(Source!BI44=1,Source!O44+Source!X44+Source!Y44,0)</f>
        <v>351637.55999999994</v>
      </c>
      <c r="T107">
        <f>IF(Source!BI44=2,Source!O44+Source!X44+Source!Y44,0)</f>
        <v>0</v>
      </c>
      <c r="U107">
        <f>IF(Source!BI44=3,Source!O44+Source!X44+Source!Y44,0)</f>
        <v>0</v>
      </c>
      <c r="V107">
        <f>IF(Source!BI44=4,Source!O44+Source!X44+Source!Y44,0)</f>
        <v>0</v>
      </c>
      <c r="W107">
        <f>ROUND((Source!CS44/IF(Source!BS44&lt;&gt;0,Source!BS44,1)*Source!I44),2)</f>
        <v>0</v>
      </c>
    </row>
    <row r="108" spans="1:12" ht="45">
      <c r="A108" s="28" t="str">
        <f>Source!E45</f>
        <v>12</v>
      </c>
      <c r="B108" s="28" t="str">
        <f>Source!F45</f>
        <v>26-01-021-1</v>
      </c>
      <c r="C108" s="29" t="str">
        <f>Source!G45</f>
        <v>Изоляция плоских и криволинейных поверхностей методом напыления</v>
      </c>
      <c r="D108" s="30" t="str">
        <f>Source!H45</f>
        <v>1 м3</v>
      </c>
      <c r="E108" s="13">
        <f>ROUND(Source!I45,6)</f>
        <v>13.926</v>
      </c>
      <c r="F108" s="15">
        <f>IF(Source!AK45&lt;&gt;0,Source!AK45,Source!AL45+Source!AM45+Source!AO45)</f>
        <v>5544.7699999999995</v>
      </c>
      <c r="G108" s="13"/>
      <c r="H108" s="13"/>
      <c r="I108" s="31" t="str">
        <f>IF(Source!BO45&lt;&gt;"",Source!BO45,"")</f>
        <v>26-01-021-1</v>
      </c>
      <c r="J108" s="13"/>
      <c r="K108" s="13"/>
      <c r="L108" s="13"/>
    </row>
    <row r="109" spans="1:12" ht="15">
      <c r="A109" s="13"/>
      <c r="B109" s="13"/>
      <c r="C109" s="13" t="s">
        <v>353</v>
      </c>
      <c r="D109" s="13"/>
      <c r="E109" s="13"/>
      <c r="F109" s="15">
        <f>Source!AO45</f>
        <v>217.74</v>
      </c>
      <c r="G109" s="31">
        <f>Source!DG45</f>
      </c>
      <c r="H109" s="15">
        <f>ROUND((Source!CT45/IF(Source!BA45&lt;&gt;0,Source!BA45,1)*Source!I45),2)</f>
        <v>3032.25</v>
      </c>
      <c r="I109" s="13"/>
      <c r="J109" s="13">
        <f>Source!BA45</f>
        <v>18.36</v>
      </c>
      <c r="K109" s="15">
        <f>Source!S45</f>
        <v>55672.06</v>
      </c>
      <c r="L109" s="13"/>
    </row>
    <row r="110" spans="1:12" ht="15">
      <c r="A110" s="13"/>
      <c r="B110" s="13"/>
      <c r="C110" s="13" t="s">
        <v>128</v>
      </c>
      <c r="D110" s="13"/>
      <c r="E110" s="13"/>
      <c r="F110" s="15">
        <f>Source!AM45</f>
        <v>344.9</v>
      </c>
      <c r="G110" s="31">
        <f>Source!DE45</f>
      </c>
      <c r="H110" s="15">
        <f>ROUND((Source!CR45/IF(Source!BB45&lt;&gt;0,Source!BB45,1)*Source!I45),2)</f>
        <v>4803.08</v>
      </c>
      <c r="I110" s="13"/>
      <c r="J110" s="13">
        <f>Source!BB45</f>
        <v>4.69</v>
      </c>
      <c r="K110" s="15">
        <f>Source!Q45</f>
        <v>22526.43</v>
      </c>
      <c r="L110" s="13"/>
    </row>
    <row r="111" spans="1:24" ht="15">
      <c r="A111" s="13"/>
      <c r="B111" s="13"/>
      <c r="C111" s="13" t="s">
        <v>355</v>
      </c>
      <c r="D111" s="16" t="s">
        <v>356</v>
      </c>
      <c r="E111" s="13"/>
      <c r="F111" s="15">
        <f>Source!BZ45</f>
        <v>100</v>
      </c>
      <c r="G111" s="13"/>
      <c r="H111" s="15">
        <f>X111</f>
        <v>3032.25</v>
      </c>
      <c r="I111" s="13" t="str">
        <f>Source!FV45</f>
        <v>((*0.85))</v>
      </c>
      <c r="J111" s="15">
        <f>Source!AT45</f>
        <v>85</v>
      </c>
      <c r="K111" s="15">
        <f>Source!X45</f>
        <v>47321.25</v>
      </c>
      <c r="L111" s="13"/>
      <c r="X111">
        <f>ROUND((Source!FX45/100)*(ROUND((Source!CT45/IF(Source!BA45&lt;&gt;0,Source!BA45,1)*Source!I45),2)+ROUND((Source!CS45/IF(Source!BS45&lt;&gt;0,Source!BS45,1)*Source!I45),2)),2)</f>
        <v>3032.25</v>
      </c>
    </row>
    <row r="112" spans="1:25" ht="15">
      <c r="A112" s="13"/>
      <c r="B112" s="13"/>
      <c r="C112" s="13" t="s">
        <v>144</v>
      </c>
      <c r="D112" s="16" t="s">
        <v>356</v>
      </c>
      <c r="E112" s="13"/>
      <c r="F112" s="15">
        <f>Source!CA45</f>
        <v>70</v>
      </c>
      <c r="G112" s="13"/>
      <c r="H112" s="15">
        <f>Y112</f>
        <v>2122.58</v>
      </c>
      <c r="I112" s="13" t="str">
        <f>Source!FW45</f>
        <v>((*0.8))</v>
      </c>
      <c r="J112" s="15">
        <f>Source!AU45</f>
        <v>56</v>
      </c>
      <c r="K112" s="15">
        <f>Source!Y45</f>
        <v>31176.35</v>
      </c>
      <c r="L112" s="13"/>
      <c r="Y112">
        <f>ROUND((Source!FY45/100)*(ROUND((Source!CT45/IF(Source!BA45&lt;&gt;0,Source!BA45,1)*Source!I45),2)+ROUND((Source!CS45/IF(Source!BS45&lt;&gt;0,Source!BS45,1)*Source!I45),2)),2)</f>
        <v>2122.58</v>
      </c>
    </row>
    <row r="113" spans="1:12" ht="15">
      <c r="A113" s="34"/>
      <c r="B113" s="34"/>
      <c r="C113" s="34" t="s">
        <v>357</v>
      </c>
      <c r="D113" s="35" t="s">
        <v>358</v>
      </c>
      <c r="E113" s="34">
        <f>Source!AQ45</f>
        <v>32.03</v>
      </c>
      <c r="F113" s="34"/>
      <c r="G113" s="36">
        <f>Source!DI45</f>
      </c>
      <c r="H113" s="34"/>
      <c r="I113" s="34"/>
      <c r="J113" s="34"/>
      <c r="K113" s="34"/>
      <c r="L113" s="37">
        <f>Source!U45</f>
        <v>446.04978</v>
      </c>
    </row>
    <row r="114" spans="1:23" ht="15.75">
      <c r="A114" s="13"/>
      <c r="B114" s="13"/>
      <c r="C114" s="13"/>
      <c r="D114" s="13"/>
      <c r="E114" s="13"/>
      <c r="F114" s="13"/>
      <c r="G114" s="13"/>
      <c r="H114" s="38">
        <f>ROUND((Source!CT45/IF(Source!BA45&lt;&gt;0,Source!BA45,1)*Source!I45),2)+ROUND((Source!CR45/IF(Source!BB45&lt;&gt;0,Source!BB45,1)*Source!I45),2)+ROUND((Source!CQ45/IF(Source!BC45&lt;&gt;0,Source!BC45,1)*Source!I45),2)+H111+H112</f>
        <v>12990.16</v>
      </c>
      <c r="I114" s="39"/>
      <c r="J114" s="39"/>
      <c r="K114" s="38">
        <f>Source!O45+K111+K112</f>
        <v>156696.09</v>
      </c>
      <c r="L114" s="38">
        <f>Source!U45</f>
        <v>446.04978</v>
      </c>
      <c r="M114" s="32">
        <f>H114</f>
        <v>12990.16</v>
      </c>
      <c r="N114">
        <f>ROUND((Source!CT45/IF(Source!BA45&lt;&gt;0,Source!BA45,1)*Source!I45),2)</f>
        <v>3032.25</v>
      </c>
      <c r="O114">
        <f>IF(Source!BI45=1,((((Source!CT45/IF(Source!BA45&lt;&gt;0,Source!BA45,1)*Source!I45)+(Source!CR45/IF(Source!BB45&lt;&gt;0,Source!BB45,1)*Source!I45)+(Source!CQ45/IF(Source!BC45&lt;&gt;0,Source!BC45,1)*Source!I45))+((Source!FX45/100)*((Source!CT45/IF(Source!BA45&lt;&gt;0,Source!BA45,1)*Source!I45)+(Source!CS45/IF(Source!BS45&lt;&gt;0,Source!BS45,1)*Source!I45)))+((Source!FY45/100)*((Source!CT45/IF(Source!BA45&lt;&gt;0,Source!BA45,1)*Source!I45)+(Source!CS45/IF(Source!BS45&lt;&gt;0,Source!BS45,1)*Source!I45))))),0)</f>
        <v>12990.144948000001</v>
      </c>
      <c r="P114">
        <f>IF(Source!BI45=2,((((Source!CT45/IF(Source!BA45&lt;&gt;0,Source!BA45,1)*Source!I45)+(Source!CR45/IF(Source!BB45&lt;&gt;0,Source!BB45,1)*Source!I45)+(Source!CQ45/IF(Source!BC45&lt;&gt;0,Source!BC45,1)*Source!I45))+((Source!FX45/100)*((Source!CT45/IF(Source!BA45&lt;&gt;0,Source!BA45,1)*Source!I45)+(Source!CS45/IF(Source!BS45&lt;&gt;0,Source!BS45,1)*Source!I45)))+((Source!FY45/100)*((Source!CT45/IF(Source!BA45&lt;&gt;0,Source!BA45,1)*Source!I45)+(Source!CS45/IF(Source!BS45&lt;&gt;0,Source!BS45,1)*Source!I45))))),0)</f>
        <v>0</v>
      </c>
      <c r="Q114">
        <f>IF(Source!BI45=3,((((Source!CT45/IF(Source!BA45&lt;&gt;0,Source!BA45,1)*Source!I45)+(Source!CR45/IF(Source!BB45&lt;&gt;0,Source!BB45,1)*Source!I45)+(Source!CQ45/IF(Source!BC45&lt;&gt;0,Source!BC45,1)*Source!I45))+((Source!FX45/100)*((Source!CT45/IF(Source!BA45&lt;&gt;0,Source!BA45,1)*Source!I45)+(Source!CS45/IF(Source!BS45&lt;&gt;0,Source!BS45,1)*Source!I45)))+((Source!FY45/100)*((Source!CT45/IF(Source!BA45&lt;&gt;0,Source!BA45,1)*Source!I45)+(Source!CS45/IF(Source!BS45&lt;&gt;0,Source!BS45,1)*Source!I45))))),0)</f>
        <v>0</v>
      </c>
      <c r="R114">
        <f>IF(Source!BI45=4,((((Source!CT45/IF(Source!BA45&lt;&gt;0,Source!BA45,1)*Source!I45)+(Source!CR45/IF(Source!BB45&lt;&gt;0,Source!BB45,1)*Source!I45)+(Source!CQ45/IF(Source!BC45&lt;&gt;0,Source!BC45,1)*Source!I45))+((Source!FX45/100)*((Source!CT45/IF(Source!BA45&lt;&gt;0,Source!BA45,1)*Source!I45)+(Source!CS45/IF(Source!BS45&lt;&gt;0,Source!BS45,1)*Source!I45)))+((Source!FY45/100)*((Source!CT45/IF(Source!BA45&lt;&gt;0,Source!BA45,1)*Source!I45)+(Source!CS45/IF(Source!BS45&lt;&gt;0,Source!BS45,1)*Source!I45))))),0)</f>
        <v>0</v>
      </c>
      <c r="S114">
        <f>IF(Source!BI45=1,Source!O45+Source!X45+Source!Y45,0)</f>
        <v>156696.09</v>
      </c>
      <c r="T114">
        <f>IF(Source!BI45=2,Source!O45+Source!X45+Source!Y45,0)</f>
        <v>0</v>
      </c>
      <c r="U114">
        <f>IF(Source!BI45=3,Source!O45+Source!X45+Source!Y45,0)</f>
        <v>0</v>
      </c>
      <c r="V114">
        <f>IF(Source!BI45=4,Source!O45+Source!X45+Source!Y45,0)</f>
        <v>0</v>
      </c>
      <c r="W114">
        <f>ROUND((Source!CS45/IF(Source!BS45&lt;&gt;0,Source!BS45,1)*Source!I45),2)</f>
        <v>0</v>
      </c>
    </row>
    <row r="115" spans="1:12" ht="30">
      <c r="A115" s="28" t="str">
        <f>Source!E46</f>
        <v>13</v>
      </c>
      <c r="B115" s="28" t="str">
        <f>Source!F46</f>
        <v>101-1883</v>
      </c>
      <c r="C115" s="29" t="str">
        <f>Source!G46</f>
        <v>Лента полиэтиленовая с липким слоем А50</v>
      </c>
      <c r="D115" s="30" t="str">
        <f>Source!H46</f>
        <v>кг</v>
      </c>
      <c r="E115" s="13">
        <f>ROUND(Source!I46,6)</f>
        <v>50.69</v>
      </c>
      <c r="F115" s="15">
        <f>IF(Source!AK46&lt;&gt;0,Source!AK46,Source!AL46+Source!AM46+Source!AO46)</f>
        <v>99.11</v>
      </c>
      <c r="G115" s="13"/>
      <c r="H115" s="13"/>
      <c r="I115" s="31">
        <f>IF(Source!BO46&lt;&gt;"",Source!BO46,"")</f>
      </c>
      <c r="J115" s="13"/>
      <c r="K115" s="13"/>
      <c r="L115" s="13"/>
    </row>
    <row r="116" spans="1:12" ht="15">
      <c r="A116" s="34"/>
      <c r="B116" s="34"/>
      <c r="C116" s="34" t="s">
        <v>359</v>
      </c>
      <c r="D116" s="34"/>
      <c r="E116" s="34"/>
      <c r="F116" s="37">
        <f>Source!AL46</f>
        <v>99.11</v>
      </c>
      <c r="G116" s="36">
        <f>Source!DD46</f>
      </c>
      <c r="H116" s="37">
        <f>ROUND((Source!CQ46/IF(Source!BC46&lt;&gt;0,Source!BC46,1)*Source!I46),2)</f>
        <v>5023.89</v>
      </c>
      <c r="I116" s="34"/>
      <c r="J116" s="34">
        <f>Source!BC46</f>
        <v>1</v>
      </c>
      <c r="K116" s="37">
        <f>Source!P46</f>
        <v>5023.89</v>
      </c>
      <c r="L116" s="34"/>
    </row>
    <row r="117" spans="1:23" ht="15.75">
      <c r="A117" s="13"/>
      <c r="B117" s="13"/>
      <c r="C117" s="13"/>
      <c r="D117" s="13"/>
      <c r="E117" s="13"/>
      <c r="F117" s="13"/>
      <c r="G117" s="13"/>
      <c r="H117" s="38">
        <f>ROUND((Source!CT46/IF(Source!BA46&lt;&gt;0,Source!BA46,1)*Source!I46),2)+ROUND((Source!CR46/IF(Source!BB46&lt;&gt;0,Source!BB46,1)*Source!I46),2)+ROUND((Source!CQ46/IF(Source!BC46&lt;&gt;0,Source!BC46,1)*Source!I46),2)</f>
        <v>5023.89</v>
      </c>
      <c r="I117" s="39"/>
      <c r="J117" s="39"/>
      <c r="K117" s="38">
        <f>Source!O46</f>
        <v>5023.89</v>
      </c>
      <c r="L117" s="38">
        <f>Source!U46</f>
        <v>0</v>
      </c>
      <c r="M117" s="32">
        <f>H117</f>
        <v>5023.89</v>
      </c>
      <c r="N117">
        <f>ROUND((Source!CT46/IF(Source!BA46&lt;&gt;0,Source!BA46,1)*Source!I46),2)</f>
        <v>0</v>
      </c>
      <c r="O117">
        <f>IF(Source!BI46=1,((((Source!CT46/IF(Source!BA46&lt;&gt;0,Source!BA46,1)*Source!I46)+(Source!CR46/IF(Source!BB46&lt;&gt;0,Source!BB46,1)*Source!I46)+(Source!CQ46/IF(Source!BC46&lt;&gt;0,Source!BC46,1)*Source!I46))+((Source!FX46/100)*((Source!CT46/IF(Source!BA46&lt;&gt;0,Source!BA46,1)*Source!I46)+(Source!CS46/IF(Source!BS46&lt;&gt;0,Source!BS46,1)*Source!I46)))+((Source!FY46/100)*((Source!CT46/IF(Source!BA46&lt;&gt;0,Source!BA46,1)*Source!I46)+(Source!CS46/IF(Source!BS46&lt;&gt;0,Source!BS46,1)*Source!I46))))),0)</f>
        <v>0</v>
      </c>
      <c r="P117">
        <f>IF(Source!BI46=2,((((Source!CT46/IF(Source!BA46&lt;&gt;0,Source!BA46,1)*Source!I46)+(Source!CR46/IF(Source!BB46&lt;&gt;0,Source!BB46,1)*Source!I46)+(Source!CQ46/IF(Source!BC46&lt;&gt;0,Source!BC46,1)*Source!I46))+((Source!FX46/100)*((Source!CT46/IF(Source!BA46&lt;&gt;0,Source!BA46,1)*Source!I46)+(Source!CS46/IF(Source!BS46&lt;&gt;0,Source!BS46,1)*Source!I46)))+((Source!FY46/100)*((Source!CT46/IF(Source!BA46&lt;&gt;0,Source!BA46,1)*Source!I46)+(Source!CS46/IF(Source!BS46&lt;&gt;0,Source!BS46,1)*Source!I46))))),0)</f>
        <v>0</v>
      </c>
      <c r="Q117">
        <f>IF(Source!BI46=3,((((Source!CT46/IF(Source!BA46&lt;&gt;0,Source!BA46,1)*Source!I46)+(Source!CR46/IF(Source!BB46&lt;&gt;0,Source!BB46,1)*Source!I46)+(Source!CQ46/IF(Source!BC46&lt;&gt;0,Source!BC46,1)*Source!I46))+((Source!FX46/100)*((Source!CT46/IF(Source!BA46&lt;&gt;0,Source!BA46,1)*Source!I46)+(Source!CS46/IF(Source!BS46&lt;&gt;0,Source!BS46,1)*Source!I46)))+((Source!FY46/100)*((Source!CT46/IF(Source!BA46&lt;&gt;0,Source!BA46,1)*Source!I46)+(Source!CS46/IF(Source!BS46&lt;&gt;0,Source!BS46,1)*Source!I46))))),0)</f>
        <v>0</v>
      </c>
      <c r="R117">
        <f>IF(Source!BI46=4,((((Source!CT46/IF(Source!BA46&lt;&gt;0,Source!BA46,1)*Source!I46)+(Source!CR46/IF(Source!BB46&lt;&gt;0,Source!BB46,1)*Source!I46)+(Source!CQ46/IF(Source!BC46&lt;&gt;0,Source!BC46,1)*Source!I46))+((Source!FX46/100)*((Source!CT46/IF(Source!BA46&lt;&gt;0,Source!BA46,1)*Source!I46)+(Source!CS46/IF(Source!BS46&lt;&gt;0,Source!BS46,1)*Source!I46)))+((Source!FY46/100)*((Source!CT46/IF(Source!BA46&lt;&gt;0,Source!BA46,1)*Source!I46)+(Source!CS46/IF(Source!BS46&lt;&gt;0,Source!BS46,1)*Source!I46))))),0)</f>
        <v>5023.885899999999</v>
      </c>
      <c r="S117">
        <f>IF(Source!BI46=1,Source!O46+Source!X46+Source!Y46,0)</f>
        <v>0</v>
      </c>
      <c r="T117">
        <f>IF(Source!BI46=2,Source!O46+Source!X46+Source!Y46,0)</f>
        <v>0</v>
      </c>
      <c r="U117">
        <f>IF(Source!BI46=3,Source!O46+Source!X46+Source!Y46,0)</f>
        <v>0</v>
      </c>
      <c r="V117">
        <f>IF(Source!BI46=4,Source!O46+Source!X46+Source!Y46,0)</f>
        <v>5023.89</v>
      </c>
      <c r="W117">
        <f>ROUND((Source!CS46/IF(Source!BS46&lt;&gt;0,Source!BS46,1)*Source!I46),2)</f>
        <v>0</v>
      </c>
    </row>
    <row r="118" spans="1:12" ht="30">
      <c r="A118" s="28" t="str">
        <f>Source!E47</f>
        <v>14</v>
      </c>
      <c r="B118" s="28" t="str">
        <f>Source!F47</f>
        <v>113-0307</v>
      </c>
      <c r="C118" s="29" t="str">
        <f>Source!G47</f>
        <v>Пленка полиэтиленовая толщиной 0,2-0,5 мм</v>
      </c>
      <c r="D118" s="30" t="str">
        <f>Source!H47</f>
        <v>т</v>
      </c>
      <c r="E118" s="13">
        <f>ROUND(Source!I47,6)</f>
        <v>0.0578</v>
      </c>
      <c r="F118" s="15">
        <f>IF(Source!AK47&lt;&gt;0,Source!AK47,Source!AL47+Source!AM47+Source!AO47)</f>
        <v>13624</v>
      </c>
      <c r="G118" s="13"/>
      <c r="H118" s="13"/>
      <c r="I118" s="31" t="str">
        <f>IF(Source!BO47&lt;&gt;"",Source!BO47,"")</f>
        <v>113-0307</v>
      </c>
      <c r="J118" s="13"/>
      <c r="K118" s="13"/>
      <c r="L118" s="13"/>
    </row>
    <row r="119" spans="1:12" ht="15">
      <c r="A119" s="34"/>
      <c r="B119" s="34"/>
      <c r="C119" s="34" t="s">
        <v>359</v>
      </c>
      <c r="D119" s="34"/>
      <c r="E119" s="34"/>
      <c r="F119" s="37">
        <f>Source!AL47</f>
        <v>13624</v>
      </c>
      <c r="G119" s="36">
        <f>Source!DD47</f>
      </c>
      <c r="H119" s="37">
        <f>ROUND((Source!CQ47/IF(Source!BC47&lt;&gt;0,Source!BC47,1)*Source!I47),2)</f>
        <v>787.47</v>
      </c>
      <c r="I119" s="34"/>
      <c r="J119" s="34">
        <f>Source!BC47</f>
        <v>1</v>
      </c>
      <c r="K119" s="37">
        <f>Source!P47</f>
        <v>787.47</v>
      </c>
      <c r="L119" s="34"/>
    </row>
    <row r="120" spans="1:23" ht="15.75">
      <c r="A120" s="13"/>
      <c r="B120" s="13"/>
      <c r="C120" s="13"/>
      <c r="D120" s="13"/>
      <c r="E120" s="13"/>
      <c r="F120" s="13"/>
      <c r="G120" s="13"/>
      <c r="H120" s="38">
        <f>ROUND((Source!CT47/IF(Source!BA47&lt;&gt;0,Source!BA47,1)*Source!I47),2)+ROUND((Source!CR47/IF(Source!BB47&lt;&gt;0,Source!BB47,1)*Source!I47),2)+ROUND((Source!CQ47/IF(Source!BC47&lt;&gt;0,Source!BC47,1)*Source!I47),2)</f>
        <v>787.47</v>
      </c>
      <c r="I120" s="39"/>
      <c r="J120" s="39"/>
      <c r="K120" s="38">
        <f>Source!O47</f>
        <v>787.47</v>
      </c>
      <c r="L120" s="38">
        <f>Source!U47</f>
        <v>0</v>
      </c>
      <c r="M120" s="32">
        <f>H120</f>
        <v>787.47</v>
      </c>
      <c r="N120">
        <f>ROUND((Source!CT47/IF(Source!BA47&lt;&gt;0,Source!BA47,1)*Source!I47),2)</f>
        <v>0</v>
      </c>
      <c r="O120">
        <f>IF(Source!BI47=1,((((Source!CT47/IF(Source!BA47&lt;&gt;0,Source!BA47,1)*Source!I47)+(Source!CR47/IF(Source!BB47&lt;&gt;0,Source!BB47,1)*Source!I47)+(Source!CQ47/IF(Source!BC47&lt;&gt;0,Source!BC47,1)*Source!I47))+((Source!FX47/100)*((Source!CT47/IF(Source!BA47&lt;&gt;0,Source!BA47,1)*Source!I47)+(Source!CS47/IF(Source!BS47&lt;&gt;0,Source!BS47,1)*Source!I47)))+((Source!FY47/100)*((Source!CT47/IF(Source!BA47&lt;&gt;0,Source!BA47,1)*Source!I47)+(Source!CS47/IF(Source!BS47&lt;&gt;0,Source!BS47,1)*Source!I47))))),0)</f>
        <v>787.4671999999999</v>
      </c>
      <c r="P120">
        <f>IF(Source!BI47=2,((((Source!CT47/IF(Source!BA47&lt;&gt;0,Source!BA47,1)*Source!I47)+(Source!CR47/IF(Source!BB47&lt;&gt;0,Source!BB47,1)*Source!I47)+(Source!CQ47/IF(Source!BC47&lt;&gt;0,Source!BC47,1)*Source!I47))+((Source!FX47/100)*((Source!CT47/IF(Source!BA47&lt;&gt;0,Source!BA47,1)*Source!I47)+(Source!CS47/IF(Source!BS47&lt;&gt;0,Source!BS47,1)*Source!I47)))+((Source!FY47/100)*((Source!CT47/IF(Source!BA47&lt;&gt;0,Source!BA47,1)*Source!I47)+(Source!CS47/IF(Source!BS47&lt;&gt;0,Source!BS47,1)*Source!I47))))),0)</f>
        <v>0</v>
      </c>
      <c r="Q120">
        <f>IF(Source!BI47=3,((((Source!CT47/IF(Source!BA47&lt;&gt;0,Source!BA47,1)*Source!I47)+(Source!CR47/IF(Source!BB47&lt;&gt;0,Source!BB47,1)*Source!I47)+(Source!CQ47/IF(Source!BC47&lt;&gt;0,Source!BC47,1)*Source!I47))+((Source!FX47/100)*((Source!CT47/IF(Source!BA47&lt;&gt;0,Source!BA47,1)*Source!I47)+(Source!CS47/IF(Source!BS47&lt;&gt;0,Source!BS47,1)*Source!I47)))+((Source!FY47/100)*((Source!CT47/IF(Source!BA47&lt;&gt;0,Source!BA47,1)*Source!I47)+(Source!CS47/IF(Source!BS47&lt;&gt;0,Source!BS47,1)*Source!I47))))),0)</f>
        <v>0</v>
      </c>
      <c r="R120">
        <f>IF(Source!BI47=4,((((Source!CT47/IF(Source!BA47&lt;&gt;0,Source!BA47,1)*Source!I47)+(Source!CR47/IF(Source!BB47&lt;&gt;0,Source!BB47,1)*Source!I47)+(Source!CQ47/IF(Source!BC47&lt;&gt;0,Source!BC47,1)*Source!I47))+((Source!FX47/100)*((Source!CT47/IF(Source!BA47&lt;&gt;0,Source!BA47,1)*Source!I47)+(Source!CS47/IF(Source!BS47&lt;&gt;0,Source!BS47,1)*Source!I47)))+((Source!FY47/100)*((Source!CT47/IF(Source!BA47&lt;&gt;0,Source!BA47,1)*Source!I47)+(Source!CS47/IF(Source!BS47&lt;&gt;0,Source!BS47,1)*Source!I47))))),0)</f>
        <v>0</v>
      </c>
      <c r="S120">
        <f>IF(Source!BI47=1,Source!O47+Source!X47+Source!Y47,0)</f>
        <v>787.47</v>
      </c>
      <c r="T120">
        <f>IF(Source!BI47=2,Source!O47+Source!X47+Source!Y47,0)</f>
        <v>0</v>
      </c>
      <c r="U120">
        <f>IF(Source!BI47=3,Source!O47+Source!X47+Source!Y47,0)</f>
        <v>0</v>
      </c>
      <c r="V120">
        <f>IF(Source!BI47=4,Source!O47+Source!X47+Source!Y47,0)</f>
        <v>0</v>
      </c>
      <c r="W120">
        <f>ROUND((Source!CS47/IF(Source!BS47&lt;&gt;0,Source!BS47,1)*Source!I47),2)</f>
        <v>0</v>
      </c>
    </row>
    <row r="121" spans="1:12" ht="30">
      <c r="A121" s="28" t="str">
        <f>Source!E48</f>
        <v>15</v>
      </c>
      <c r="B121" s="28" t="str">
        <f>Source!F48</f>
        <v>прайс-лист</v>
      </c>
      <c r="C121" s="29" t="str">
        <f>Source!G48</f>
        <v>Двухкомпонентная резина GPSpraykote</v>
      </c>
      <c r="D121" s="30" t="str">
        <f>Source!H48</f>
        <v>кг</v>
      </c>
      <c r="E121" s="13">
        <f>ROUND(Source!I48,6)</f>
        <v>22977.9</v>
      </c>
      <c r="F121" s="15">
        <f>IF(Source!AK48&lt;&gt;0,Source!AK48,Source!AL48+Source!AM48+Source!AO48)</f>
        <v>140.48</v>
      </c>
      <c r="G121" s="13"/>
      <c r="H121" s="13"/>
      <c r="I121" s="31">
        <f>IF(Source!BO48&lt;&gt;"",Source!BO48,"")</f>
      </c>
      <c r="J121" s="13"/>
      <c r="K121" s="13"/>
      <c r="L121" s="13"/>
    </row>
    <row r="122" spans="1:12" ht="15">
      <c r="A122" s="34"/>
      <c r="B122" s="34"/>
      <c r="C122" s="34" t="s">
        <v>359</v>
      </c>
      <c r="D122" s="34"/>
      <c r="E122" s="34"/>
      <c r="F122" s="37">
        <f>Source!AL48</f>
        <v>140.48</v>
      </c>
      <c r="G122" s="36">
        <f>Source!DD48</f>
      </c>
      <c r="H122" s="37">
        <f>ROUND((Source!CQ48/IF(Source!BC48&lt;&gt;0,Source!BC48,1)*Source!I48),2)</f>
        <v>3227935.39</v>
      </c>
      <c r="I122" s="34"/>
      <c r="J122" s="34">
        <f>Source!BC48</f>
        <v>1</v>
      </c>
      <c r="K122" s="37">
        <f>Source!P48</f>
        <v>3227935.39</v>
      </c>
      <c r="L122" s="34"/>
    </row>
    <row r="123" spans="1:23" ht="15.75">
      <c r="A123" s="13"/>
      <c r="B123" s="13"/>
      <c r="C123" s="13"/>
      <c r="D123" s="13"/>
      <c r="E123" s="13"/>
      <c r="F123" s="13"/>
      <c r="G123" s="13"/>
      <c r="H123" s="38">
        <f>ROUND((Source!CT48/IF(Source!BA48&lt;&gt;0,Source!BA48,1)*Source!I48),2)+ROUND((Source!CR48/IF(Source!BB48&lt;&gt;0,Source!BB48,1)*Source!I48),2)+ROUND((Source!CQ48/IF(Source!BC48&lt;&gt;0,Source!BC48,1)*Source!I48),2)</f>
        <v>3227935.39</v>
      </c>
      <c r="I123" s="39"/>
      <c r="J123" s="39"/>
      <c r="K123" s="38">
        <f>Source!O48</f>
        <v>3227935.39</v>
      </c>
      <c r="L123" s="38">
        <f>Source!U48</f>
        <v>0</v>
      </c>
      <c r="M123" s="32">
        <f>H123</f>
        <v>3227935.39</v>
      </c>
      <c r="N123">
        <f>ROUND((Source!CT48/IF(Source!BA48&lt;&gt;0,Source!BA48,1)*Source!I48),2)</f>
        <v>0</v>
      </c>
      <c r="O123">
        <f>IF(Source!BI48=1,((((Source!CT48/IF(Source!BA48&lt;&gt;0,Source!BA48,1)*Source!I48)+(Source!CR48/IF(Source!BB48&lt;&gt;0,Source!BB48,1)*Source!I48)+(Source!CQ48/IF(Source!BC48&lt;&gt;0,Source!BC48,1)*Source!I48))+((Source!FX48/100)*((Source!CT48/IF(Source!BA48&lt;&gt;0,Source!BA48,1)*Source!I48)+(Source!CS48/IF(Source!BS48&lt;&gt;0,Source!BS48,1)*Source!I48)))+((Source!FY48/100)*((Source!CT48/IF(Source!BA48&lt;&gt;0,Source!BA48,1)*Source!I48)+(Source!CS48/IF(Source!BS48&lt;&gt;0,Source!BS48,1)*Source!I48))))),0)</f>
        <v>0</v>
      </c>
      <c r="P123">
        <f>IF(Source!BI48=2,((((Source!CT48/IF(Source!BA48&lt;&gt;0,Source!BA48,1)*Source!I48)+(Source!CR48/IF(Source!BB48&lt;&gt;0,Source!BB48,1)*Source!I48)+(Source!CQ48/IF(Source!BC48&lt;&gt;0,Source!BC48,1)*Source!I48))+((Source!FX48/100)*((Source!CT48/IF(Source!BA48&lt;&gt;0,Source!BA48,1)*Source!I48)+(Source!CS48/IF(Source!BS48&lt;&gt;0,Source!BS48,1)*Source!I48)))+((Source!FY48/100)*((Source!CT48/IF(Source!BA48&lt;&gt;0,Source!BA48,1)*Source!I48)+(Source!CS48/IF(Source!BS48&lt;&gt;0,Source!BS48,1)*Source!I48))))),0)</f>
        <v>0</v>
      </c>
      <c r="Q123">
        <f>IF(Source!BI48=3,((((Source!CT48/IF(Source!BA48&lt;&gt;0,Source!BA48,1)*Source!I48)+(Source!CR48/IF(Source!BB48&lt;&gt;0,Source!BB48,1)*Source!I48)+(Source!CQ48/IF(Source!BC48&lt;&gt;0,Source!BC48,1)*Source!I48))+((Source!FX48/100)*((Source!CT48/IF(Source!BA48&lt;&gt;0,Source!BA48,1)*Source!I48)+(Source!CS48/IF(Source!BS48&lt;&gt;0,Source!BS48,1)*Source!I48)))+((Source!FY48/100)*((Source!CT48/IF(Source!BA48&lt;&gt;0,Source!BA48,1)*Source!I48)+(Source!CS48/IF(Source!BS48&lt;&gt;0,Source!BS48,1)*Source!I48))))),0)</f>
        <v>0</v>
      </c>
      <c r="R123">
        <f>IF(Source!BI48=4,((((Source!CT48/IF(Source!BA48&lt;&gt;0,Source!BA48,1)*Source!I48)+(Source!CR48/IF(Source!BB48&lt;&gt;0,Source!BB48,1)*Source!I48)+(Source!CQ48/IF(Source!BC48&lt;&gt;0,Source!BC48,1)*Source!I48))+((Source!FX48/100)*((Source!CT48/IF(Source!BA48&lt;&gt;0,Source!BA48,1)*Source!I48)+(Source!CS48/IF(Source!BS48&lt;&gt;0,Source!BS48,1)*Source!I48)))+((Source!FY48/100)*((Source!CT48/IF(Source!BA48&lt;&gt;0,Source!BA48,1)*Source!I48)+(Source!CS48/IF(Source!BS48&lt;&gt;0,Source!BS48,1)*Source!I48))))),0)</f>
        <v>3227935.392</v>
      </c>
      <c r="S123">
        <f>IF(Source!BI48=1,Source!O48+Source!X48+Source!Y48,0)</f>
        <v>0</v>
      </c>
      <c r="T123">
        <f>IF(Source!BI48=2,Source!O48+Source!X48+Source!Y48,0)</f>
        <v>0</v>
      </c>
      <c r="U123">
        <f>IF(Source!BI48=3,Source!O48+Source!X48+Source!Y48,0)</f>
        <v>0</v>
      </c>
      <c r="V123">
        <f>IF(Source!BI48=4,Source!O48+Source!X48+Source!Y48,0)</f>
        <v>3227935.39</v>
      </c>
      <c r="W123">
        <f>ROUND((Source!CS48/IF(Source!BS48&lt;&gt;0,Source!BS48,1)*Source!I48),2)</f>
        <v>0</v>
      </c>
    </row>
    <row r="124" spans="1:12" ht="45">
      <c r="A124" s="28" t="str">
        <f>Source!E49</f>
        <v>16</v>
      </c>
      <c r="B124" s="28" t="str">
        <f>Source!F49</f>
        <v>прайс-лист</v>
      </c>
      <c r="C124" s="29" t="str">
        <f>Source!G49</f>
        <v>2-ой компонент для напыления системы покрытий жидкой резины GPSpraykote</v>
      </c>
      <c r="D124" s="30" t="str">
        <f>Source!H49</f>
        <v>л</v>
      </c>
      <c r="E124" s="13">
        <f>ROUND(Source!I49,6)</f>
        <v>2100</v>
      </c>
      <c r="F124" s="15">
        <f>IF(Source!AK49&lt;&gt;0,Source!AK49,Source!AL49+Source!AM49+Source!AO49)</f>
        <v>4</v>
      </c>
      <c r="G124" s="13"/>
      <c r="H124" s="13"/>
      <c r="I124" s="31">
        <f>IF(Source!BO49&lt;&gt;"",Source!BO49,"")</f>
      </c>
      <c r="J124" s="13"/>
      <c r="K124" s="13"/>
      <c r="L124" s="13"/>
    </row>
    <row r="125" spans="1:12" ht="15">
      <c r="A125" s="34"/>
      <c r="B125" s="34"/>
      <c r="C125" s="34" t="s">
        <v>359</v>
      </c>
      <c r="D125" s="34"/>
      <c r="E125" s="34"/>
      <c r="F125" s="37">
        <f>Source!AL49</f>
        <v>4</v>
      </c>
      <c r="G125" s="36">
        <f>Source!DD49</f>
      </c>
      <c r="H125" s="37">
        <f>ROUND((Source!CQ49/IF(Source!BC49&lt;&gt;0,Source!BC49,1)*Source!I49),2)</f>
        <v>8400</v>
      </c>
      <c r="I125" s="34"/>
      <c r="J125" s="34">
        <f>Source!BC49</f>
        <v>1</v>
      </c>
      <c r="K125" s="37">
        <f>Source!P49</f>
        <v>8400</v>
      </c>
      <c r="L125" s="34"/>
    </row>
    <row r="126" spans="1:23" ht="15.75">
      <c r="A126" s="13"/>
      <c r="B126" s="13"/>
      <c r="C126" s="13"/>
      <c r="D126" s="13"/>
      <c r="E126" s="13"/>
      <c r="F126" s="13"/>
      <c r="G126" s="13"/>
      <c r="H126" s="38">
        <f>ROUND((Source!CT49/IF(Source!BA49&lt;&gt;0,Source!BA49,1)*Source!I49),2)+ROUND((Source!CR49/IF(Source!BB49&lt;&gt;0,Source!BB49,1)*Source!I49),2)+ROUND((Source!CQ49/IF(Source!BC49&lt;&gt;0,Source!BC49,1)*Source!I49),2)</f>
        <v>8400</v>
      </c>
      <c r="I126" s="39"/>
      <c r="J126" s="39"/>
      <c r="K126" s="38">
        <f>Source!O49</f>
        <v>8400</v>
      </c>
      <c r="L126" s="38">
        <f>Source!U49</f>
        <v>0</v>
      </c>
      <c r="M126" s="32">
        <f>H126</f>
        <v>8400</v>
      </c>
      <c r="N126">
        <f>ROUND((Source!CT49/IF(Source!BA49&lt;&gt;0,Source!BA49,1)*Source!I49),2)</f>
        <v>0</v>
      </c>
      <c r="O126">
        <f>IF(Source!BI49=1,((((Source!CT49/IF(Source!BA49&lt;&gt;0,Source!BA49,1)*Source!I49)+(Source!CR49/IF(Source!BB49&lt;&gt;0,Source!BB49,1)*Source!I49)+(Source!CQ49/IF(Source!BC49&lt;&gt;0,Source!BC49,1)*Source!I49))+((Source!FX49/100)*((Source!CT49/IF(Source!BA49&lt;&gt;0,Source!BA49,1)*Source!I49)+(Source!CS49/IF(Source!BS49&lt;&gt;0,Source!BS49,1)*Source!I49)))+((Source!FY49/100)*((Source!CT49/IF(Source!BA49&lt;&gt;0,Source!BA49,1)*Source!I49)+(Source!CS49/IF(Source!BS49&lt;&gt;0,Source!BS49,1)*Source!I49))))),0)</f>
        <v>0</v>
      </c>
      <c r="P126">
        <f>IF(Source!BI49=2,((((Source!CT49/IF(Source!BA49&lt;&gt;0,Source!BA49,1)*Source!I49)+(Source!CR49/IF(Source!BB49&lt;&gt;0,Source!BB49,1)*Source!I49)+(Source!CQ49/IF(Source!BC49&lt;&gt;0,Source!BC49,1)*Source!I49))+((Source!FX49/100)*((Source!CT49/IF(Source!BA49&lt;&gt;0,Source!BA49,1)*Source!I49)+(Source!CS49/IF(Source!BS49&lt;&gt;0,Source!BS49,1)*Source!I49)))+((Source!FY49/100)*((Source!CT49/IF(Source!BA49&lt;&gt;0,Source!BA49,1)*Source!I49)+(Source!CS49/IF(Source!BS49&lt;&gt;0,Source!BS49,1)*Source!I49))))),0)</f>
        <v>0</v>
      </c>
      <c r="Q126">
        <f>IF(Source!BI49=3,((((Source!CT49/IF(Source!BA49&lt;&gt;0,Source!BA49,1)*Source!I49)+(Source!CR49/IF(Source!BB49&lt;&gt;0,Source!BB49,1)*Source!I49)+(Source!CQ49/IF(Source!BC49&lt;&gt;0,Source!BC49,1)*Source!I49))+((Source!FX49/100)*((Source!CT49/IF(Source!BA49&lt;&gt;0,Source!BA49,1)*Source!I49)+(Source!CS49/IF(Source!BS49&lt;&gt;0,Source!BS49,1)*Source!I49)))+((Source!FY49/100)*((Source!CT49/IF(Source!BA49&lt;&gt;0,Source!BA49,1)*Source!I49)+(Source!CS49/IF(Source!BS49&lt;&gt;0,Source!BS49,1)*Source!I49))))),0)</f>
        <v>0</v>
      </c>
      <c r="R126">
        <f>IF(Source!BI49=4,((((Source!CT49/IF(Source!BA49&lt;&gt;0,Source!BA49,1)*Source!I49)+(Source!CR49/IF(Source!BB49&lt;&gt;0,Source!BB49,1)*Source!I49)+(Source!CQ49/IF(Source!BC49&lt;&gt;0,Source!BC49,1)*Source!I49))+((Source!FX49/100)*((Source!CT49/IF(Source!BA49&lt;&gt;0,Source!BA49,1)*Source!I49)+(Source!CS49/IF(Source!BS49&lt;&gt;0,Source!BS49,1)*Source!I49)))+((Source!FY49/100)*((Source!CT49/IF(Source!BA49&lt;&gt;0,Source!BA49,1)*Source!I49)+(Source!CS49/IF(Source!BS49&lt;&gt;0,Source!BS49,1)*Source!I49))))),0)</f>
        <v>8400</v>
      </c>
      <c r="S126">
        <f>IF(Source!BI49=1,Source!O49+Source!X49+Source!Y49,0)</f>
        <v>0</v>
      </c>
      <c r="T126">
        <f>IF(Source!BI49=2,Source!O49+Source!X49+Source!Y49,0)</f>
        <v>0</v>
      </c>
      <c r="U126">
        <f>IF(Source!BI49=3,Source!O49+Source!X49+Source!Y49,0)</f>
        <v>0</v>
      </c>
      <c r="V126">
        <f>IF(Source!BI49=4,Source!O49+Source!X49+Source!Y49,0)</f>
        <v>8400</v>
      </c>
      <c r="W126">
        <f>ROUND((Source!CS49/IF(Source!BS49&lt;&gt;0,Source!BS49,1)*Source!I49),2)</f>
        <v>0</v>
      </c>
    </row>
    <row r="128" spans="3:23" s="39" customFormat="1" ht="15.75">
      <c r="C128" s="39" t="s">
        <v>146</v>
      </c>
      <c r="G128" s="60">
        <f>SUM(M35:M127)</f>
        <v>6062989.670000001</v>
      </c>
      <c r="H128" s="60"/>
      <c r="J128" s="60">
        <f>ROUND(Source!AB30+Source!AK30+Source!AL30+Source!AE30*0/100,2)</f>
        <v>7202273.94</v>
      </c>
      <c r="K128" s="60"/>
      <c r="L128" s="38">
        <f>Source!AH30</f>
        <v>4029.34</v>
      </c>
      <c r="N128" s="38">
        <f aca="true" t="shared" si="0" ref="N128:W128">SUM(N35:N127)</f>
        <v>25698.989999999998</v>
      </c>
      <c r="O128" s="38">
        <f t="shared" si="0"/>
        <v>95098.744353</v>
      </c>
      <c r="P128" s="38">
        <f t="shared" si="0"/>
        <v>0</v>
      </c>
      <c r="Q128" s="38">
        <f t="shared" si="0"/>
        <v>0</v>
      </c>
      <c r="R128" s="38">
        <f t="shared" si="0"/>
        <v>5967890.9079</v>
      </c>
      <c r="S128" s="38">
        <f t="shared" si="0"/>
        <v>1234383.0299999998</v>
      </c>
      <c r="T128" s="38">
        <f t="shared" si="0"/>
        <v>0</v>
      </c>
      <c r="U128" s="38">
        <f t="shared" si="0"/>
        <v>0</v>
      </c>
      <c r="V128" s="38">
        <f t="shared" si="0"/>
        <v>5967890.91</v>
      </c>
      <c r="W128" s="39">
        <f t="shared" si="0"/>
        <v>287.25</v>
      </c>
    </row>
    <row r="131" spans="3:12" ht="18">
      <c r="C131" s="51" t="str">
        <f>Source!H100</f>
        <v>Итог</v>
      </c>
      <c r="D131" s="51"/>
      <c r="E131" s="51"/>
      <c r="F131" s="51"/>
      <c r="G131" s="51"/>
      <c r="H131" s="51"/>
      <c r="I131" s="51"/>
      <c r="J131" s="52">
        <f>Source!F100</f>
        <v>7202273.94</v>
      </c>
      <c r="K131" s="53"/>
      <c r="L131" s="45"/>
    </row>
    <row r="132" spans="3:12" ht="18">
      <c r="C132" s="51" t="str">
        <f>Source!H101</f>
        <v>НДС 18%</v>
      </c>
      <c r="D132" s="51"/>
      <c r="E132" s="51"/>
      <c r="F132" s="51"/>
      <c r="G132" s="51"/>
      <c r="H132" s="51"/>
      <c r="I132" s="51"/>
      <c r="J132" s="52">
        <f>Source!F101</f>
        <v>1296409.31</v>
      </c>
      <c r="K132" s="53"/>
      <c r="L132" s="45"/>
    </row>
    <row r="133" spans="3:12" s="9" customFormat="1" ht="18">
      <c r="C133" s="54" t="str">
        <f>Source!H102</f>
        <v>ВСЕГО с НДС</v>
      </c>
      <c r="D133" s="54"/>
      <c r="E133" s="54"/>
      <c r="F133" s="54"/>
      <c r="G133" s="54"/>
      <c r="H133" s="54"/>
      <c r="I133" s="54"/>
      <c r="J133" s="49">
        <f>Source!F102</f>
        <v>8498683.25</v>
      </c>
      <c r="K133" s="55"/>
      <c r="L133" s="46"/>
    </row>
    <row r="135" spans="3:23" s="46" customFormat="1" ht="18" hidden="1">
      <c r="C135" s="46" t="s">
        <v>360</v>
      </c>
      <c r="G135" s="49">
        <f>SUM(M1:M135)</f>
        <v>6062989.670000001</v>
      </c>
      <c r="H135" s="49"/>
      <c r="J135" s="49">
        <f>ROUND(Source!O18+Source!X18+Source!Y18+Source!R18*0/100,2)</f>
        <v>7202273.94</v>
      </c>
      <c r="K135" s="49"/>
      <c r="L135" s="47">
        <f>Source!U18</f>
        <v>4029.34</v>
      </c>
      <c r="N135" s="47">
        <f aca="true" t="shared" si="1" ref="N135:W135">N128</f>
        <v>25698.989999999998</v>
      </c>
      <c r="O135" s="47">
        <f t="shared" si="1"/>
        <v>95098.744353</v>
      </c>
      <c r="P135" s="47">
        <f t="shared" si="1"/>
        <v>0</v>
      </c>
      <c r="Q135" s="47">
        <f t="shared" si="1"/>
        <v>0</v>
      </c>
      <c r="R135" s="47">
        <f t="shared" si="1"/>
        <v>5967890.9079</v>
      </c>
      <c r="S135" s="47">
        <f t="shared" si="1"/>
        <v>1234383.0299999998</v>
      </c>
      <c r="T135" s="47">
        <f t="shared" si="1"/>
        <v>0</v>
      </c>
      <c r="U135" s="47">
        <f t="shared" si="1"/>
        <v>0</v>
      </c>
      <c r="V135" s="47">
        <f t="shared" si="1"/>
        <v>5967890.91</v>
      </c>
      <c r="W135" s="46">
        <f t="shared" si="1"/>
        <v>287.25</v>
      </c>
    </row>
    <row r="136" spans="1:8" s="4" customFormat="1" ht="12.75">
      <c r="A136" s="4" t="s">
        <v>361</v>
      </c>
      <c r="C136" s="48" t="str">
        <f>IF(Source!AO12&lt;&gt;"",Source!AO12," ")</f>
        <v> </v>
      </c>
      <c r="D136" s="48"/>
      <c r="E136" s="48"/>
      <c r="F136" s="48"/>
      <c r="G136" s="48"/>
      <c r="H136" s="4" t="str">
        <f>IF(Source!R12&lt;&gt;"",Source!R12," ")</f>
        <v> </v>
      </c>
    </row>
    <row r="137" spans="3:7" s="5" customFormat="1" ht="11.25">
      <c r="C137" s="50" t="s">
        <v>362</v>
      </c>
      <c r="D137" s="50"/>
      <c r="E137" s="50"/>
      <c r="F137" s="50"/>
      <c r="G137" s="50"/>
    </row>
    <row r="139" spans="1:8" s="4" customFormat="1" ht="12.75">
      <c r="A139" s="4" t="s">
        <v>363</v>
      </c>
      <c r="C139" s="48" t="str">
        <f>IF(Source!AP12&lt;&gt;"",Source!AP12," ")</f>
        <v> </v>
      </c>
      <c r="D139" s="48"/>
      <c r="E139" s="48"/>
      <c r="F139" s="48"/>
      <c r="G139" s="48"/>
      <c r="H139" s="4" t="str">
        <f>IF(Source!S12&lt;&gt;"",Source!S12," ")</f>
        <v> </v>
      </c>
    </row>
    <row r="140" spans="3:7" s="5" customFormat="1" ht="11.25">
      <c r="C140" s="50" t="s">
        <v>362</v>
      </c>
      <c r="D140" s="50"/>
      <c r="E140" s="50"/>
      <c r="F140" s="50"/>
      <c r="G140" s="50"/>
    </row>
  </sheetData>
  <sheetProtection/>
  <mergeCells count="40">
    <mergeCell ref="H7:K7"/>
    <mergeCell ref="A11:L11"/>
    <mergeCell ref="A12:L12"/>
    <mergeCell ref="A14:L14"/>
    <mergeCell ref="B16:L16"/>
    <mergeCell ref="F3:I3"/>
    <mergeCell ref="A5:B5"/>
    <mergeCell ref="F5:H5"/>
    <mergeCell ref="C5:D5"/>
    <mergeCell ref="I5:K5"/>
    <mergeCell ref="C7:D7"/>
    <mergeCell ref="G22:H22"/>
    <mergeCell ref="I22:J22"/>
    <mergeCell ref="K22:L22"/>
    <mergeCell ref="G19:H19"/>
    <mergeCell ref="I19:J19"/>
    <mergeCell ref="C20:F20"/>
    <mergeCell ref="G20:H20"/>
    <mergeCell ref="I20:J20"/>
    <mergeCell ref="K20:L20"/>
    <mergeCell ref="A24:C24"/>
    <mergeCell ref="D31:L31"/>
    <mergeCell ref="D33:L33"/>
    <mergeCell ref="J128:K128"/>
    <mergeCell ref="G128:H128"/>
    <mergeCell ref="C21:F21"/>
    <mergeCell ref="G21:H21"/>
    <mergeCell ref="I21:J21"/>
    <mergeCell ref="K21:L21"/>
    <mergeCell ref="C22:F22"/>
    <mergeCell ref="J135:K135"/>
    <mergeCell ref="G135:H135"/>
    <mergeCell ref="C137:G137"/>
    <mergeCell ref="C140:G140"/>
    <mergeCell ref="C131:I131"/>
    <mergeCell ref="J131:K131"/>
    <mergeCell ref="C132:I132"/>
    <mergeCell ref="J132:K132"/>
    <mergeCell ref="C133:I133"/>
    <mergeCell ref="J133:K133"/>
  </mergeCells>
  <printOptions/>
  <pageMargins left="0.2755905511811024" right="0.1968503937007874" top="0.3937007874015748" bottom="0.3937007874015748" header="0.11811023622047245" footer="0.11811023622047245"/>
  <pageSetup horizontalDpi="600" verticalDpi="600" orientation="portrait" paperSize="9" scale="6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L1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38458</v>
      </c>
    </row>
    <row r="12" spans="1:104" ht="12.75">
      <c r="A12" s="1">
        <v>1</v>
      </c>
      <c r="B12" s="1">
        <v>1</v>
      </c>
      <c r="C12" s="1">
        <v>0</v>
      </c>
      <c r="D12" s="1">
        <f>ROW(A104)</f>
        <v>104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7</v>
      </c>
      <c r="M12" s="1" t="s">
        <v>8</v>
      </c>
      <c r="N12" s="1" t="s">
        <v>6</v>
      </c>
      <c r="O12" s="1" t="s">
        <v>9</v>
      </c>
      <c r="P12" s="1">
        <v>2013</v>
      </c>
      <c r="Q12" s="1">
        <v>5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-3</v>
      </c>
      <c r="W12" s="1" t="s">
        <v>6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10</v>
      </c>
      <c r="AS12" s="1" t="s">
        <v>10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23635010</v>
      </c>
      <c r="BE12" s="1" t="s">
        <v>11</v>
      </c>
      <c r="BF12" s="1" t="s">
        <v>12</v>
      </c>
      <c r="BG12" s="1">
        <v>19557707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20980756</v>
      </c>
      <c r="CB12" s="1">
        <v>20980751</v>
      </c>
      <c r="CC12" s="1">
        <v>20980749</v>
      </c>
      <c r="CD12" s="1">
        <v>20980747</v>
      </c>
      <c r="CE12" s="1">
        <v>0</v>
      </c>
      <c r="CF12" s="1">
        <v>0</v>
      </c>
      <c r="CG12" s="1" t="s">
        <v>13</v>
      </c>
      <c r="CH12" s="1" t="s">
        <v>14</v>
      </c>
      <c r="CI12" s="1" t="s">
        <v>6</v>
      </c>
      <c r="CJ12" s="1">
        <v>0</v>
      </c>
      <c r="CK12" s="1">
        <v>21011639</v>
      </c>
      <c r="CL12" s="1" t="s">
        <v>15</v>
      </c>
      <c r="CM12" s="1" t="s">
        <v>16</v>
      </c>
      <c r="CN12" s="1" t="s">
        <v>15</v>
      </c>
      <c r="CO12" s="1" t="s">
        <v>15</v>
      </c>
      <c r="CP12" s="1" t="s">
        <v>15</v>
      </c>
      <c r="CQ12" s="1" t="s">
        <v>15</v>
      </c>
      <c r="CR12" s="1" t="s">
        <v>6</v>
      </c>
      <c r="CS12" s="1">
        <v>0</v>
      </c>
      <c r="CT12" s="1">
        <v>0</v>
      </c>
      <c r="CU12" s="1">
        <v>0</v>
      </c>
      <c r="CV12" s="1">
        <v>21207762</v>
      </c>
      <c r="CW12" s="1">
        <v>23250477</v>
      </c>
      <c r="CX12" s="1">
        <v>23395555</v>
      </c>
      <c r="CY12" s="1">
        <v>8</v>
      </c>
      <c r="CZ12" s="1" t="s">
        <v>6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B104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Ковров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6583921.74</v>
      </c>
      <c r="P18" s="2">
        <f t="shared" si="0"/>
        <v>6061003.52</v>
      </c>
      <c r="Q18" s="2">
        <f t="shared" si="0"/>
        <v>51084.73</v>
      </c>
      <c r="R18" s="2">
        <f t="shared" si="0"/>
        <v>5273.82</v>
      </c>
      <c r="S18" s="2">
        <f t="shared" si="0"/>
        <v>471833.49</v>
      </c>
      <c r="T18" s="2">
        <f t="shared" si="0"/>
        <v>0</v>
      </c>
      <c r="U18" s="2">
        <f t="shared" si="0"/>
        <v>4029.34</v>
      </c>
      <c r="V18" s="2">
        <f t="shared" si="0"/>
        <v>24.11</v>
      </c>
      <c r="W18" s="2">
        <f t="shared" si="0"/>
        <v>0</v>
      </c>
      <c r="X18" s="2">
        <f t="shared" si="0"/>
        <v>388130.86</v>
      </c>
      <c r="Y18" s="2">
        <f t="shared" si="0"/>
        <v>230221.34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ROW(A85)</f>
        <v>85</v>
      </c>
      <c r="E20" s="1"/>
      <c r="F20" s="1" t="s">
        <v>17</v>
      </c>
      <c r="G20" s="1" t="s">
        <v>5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6</v>
      </c>
      <c r="AP20" s="1" t="s">
        <v>6</v>
      </c>
      <c r="AQ20" s="1" t="s">
        <v>6</v>
      </c>
      <c r="AR20" s="1"/>
      <c r="AS20" s="1"/>
      <c r="AT20" s="1" t="s">
        <v>6</v>
      </c>
      <c r="AU20" s="1" t="s">
        <v>6</v>
      </c>
      <c r="AV20" s="1" t="s">
        <v>6</v>
      </c>
      <c r="AW20" s="1" t="s">
        <v>6</v>
      </c>
      <c r="AX20" s="1" t="s">
        <v>6</v>
      </c>
      <c r="AY20" s="1" t="s">
        <v>6</v>
      </c>
      <c r="AZ20" s="1" t="s">
        <v>6</v>
      </c>
      <c r="BA20" s="1" t="s">
        <v>6</v>
      </c>
      <c r="BB20" s="1" t="s">
        <v>6</v>
      </c>
      <c r="BC20" s="1" t="s">
        <v>6</v>
      </c>
      <c r="BD20" s="1" t="s">
        <v>6</v>
      </c>
      <c r="BE20" s="1" t="s">
        <v>18</v>
      </c>
      <c r="BF20" s="1">
        <v>0</v>
      </c>
      <c r="BG20" s="1">
        <v>0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>
        <v>0</v>
      </c>
      <c r="BN20" s="1" t="s">
        <v>6</v>
      </c>
      <c r="BO20" s="1" t="s">
        <v>6</v>
      </c>
    </row>
    <row r="22" spans="1:43" ht="12.75">
      <c r="A22" s="2">
        <v>52</v>
      </c>
      <c r="B22" s="2">
        <f aca="true" t="shared" si="1" ref="B22:AQ22">B85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Ковров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6583921.74</v>
      </c>
      <c r="P22" s="2">
        <f t="shared" si="1"/>
        <v>6061003.52</v>
      </c>
      <c r="Q22" s="2">
        <f t="shared" si="1"/>
        <v>51084.73</v>
      </c>
      <c r="R22" s="2">
        <f t="shared" si="1"/>
        <v>5273.82</v>
      </c>
      <c r="S22" s="2">
        <f t="shared" si="1"/>
        <v>471833.49</v>
      </c>
      <c r="T22" s="2">
        <f t="shared" si="1"/>
        <v>0</v>
      </c>
      <c r="U22" s="2">
        <f t="shared" si="1"/>
        <v>4029.34</v>
      </c>
      <c r="V22" s="2">
        <f t="shared" si="1"/>
        <v>24.11</v>
      </c>
      <c r="W22" s="2">
        <f t="shared" si="1"/>
        <v>0</v>
      </c>
      <c r="X22" s="2">
        <f t="shared" si="1"/>
        <v>388130.86</v>
      </c>
      <c r="Y22" s="2">
        <f t="shared" si="1"/>
        <v>230221.34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ROW(A68)</f>
        <v>68</v>
      </c>
      <c r="E24" s="1"/>
      <c r="F24" s="1" t="s">
        <v>19</v>
      </c>
      <c r="G24" s="1" t="s">
        <v>5</v>
      </c>
      <c r="H24" s="1"/>
      <c r="I24" s="1"/>
      <c r="J24" s="1"/>
      <c r="K24" s="1"/>
      <c r="L24" s="1"/>
      <c r="M24" s="1"/>
      <c r="N24" s="1" t="s">
        <v>6</v>
      </c>
      <c r="O24" s="1"/>
      <c r="P24" s="1"/>
      <c r="Q24" s="1"/>
      <c r="R24" s="1" t="s">
        <v>6</v>
      </c>
      <c r="S24" s="1" t="s">
        <v>6</v>
      </c>
      <c r="T24" s="1" t="s">
        <v>6</v>
      </c>
      <c r="U24" s="1" t="s">
        <v>6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6</v>
      </c>
      <c r="AP24" s="1" t="s">
        <v>6</v>
      </c>
      <c r="AQ24" s="1" t="s">
        <v>6</v>
      </c>
      <c r="AR24" s="1"/>
      <c r="AS24" s="1"/>
      <c r="AT24" s="1" t="s">
        <v>6</v>
      </c>
      <c r="AU24" s="1" t="s">
        <v>6</v>
      </c>
      <c r="AV24" s="1" t="s">
        <v>6</v>
      </c>
      <c r="AW24" s="1" t="s">
        <v>6</v>
      </c>
      <c r="AX24" s="1" t="s">
        <v>6</v>
      </c>
      <c r="AY24" s="1" t="s">
        <v>6</v>
      </c>
      <c r="AZ24" s="1" t="s">
        <v>6</v>
      </c>
      <c r="BA24" s="1" t="s">
        <v>6</v>
      </c>
      <c r="BB24" s="1" t="s">
        <v>6</v>
      </c>
      <c r="BC24" s="1" t="s">
        <v>6</v>
      </c>
      <c r="BD24" s="1" t="s">
        <v>6</v>
      </c>
      <c r="BE24" s="1" t="s">
        <v>20</v>
      </c>
      <c r="BF24" s="1">
        <v>0</v>
      </c>
      <c r="BG24" s="1">
        <v>0</v>
      </c>
      <c r="BH24" s="1" t="s">
        <v>6</v>
      </c>
      <c r="BI24" s="1" t="s">
        <v>6</v>
      </c>
      <c r="BJ24" s="1" t="s">
        <v>6</v>
      </c>
      <c r="BK24" s="1" t="s">
        <v>6</v>
      </c>
      <c r="BL24" s="1" t="s">
        <v>6</v>
      </c>
      <c r="BM24" s="1">
        <v>0</v>
      </c>
      <c r="BN24" s="1" t="s">
        <v>6</v>
      </c>
      <c r="BO24" s="1">
        <v>0</v>
      </c>
    </row>
    <row r="26" spans="1:43" ht="12.75">
      <c r="A26" s="2">
        <v>52</v>
      </c>
      <c r="B26" s="2">
        <f aca="true" t="shared" si="2" ref="B26:AQ26">B68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Ковров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6583921.74</v>
      </c>
      <c r="P26" s="2">
        <f t="shared" si="2"/>
        <v>6061003.52</v>
      </c>
      <c r="Q26" s="2">
        <f t="shared" si="2"/>
        <v>51084.73</v>
      </c>
      <c r="R26" s="2">
        <f t="shared" si="2"/>
        <v>5273.82</v>
      </c>
      <c r="S26" s="2">
        <f t="shared" si="2"/>
        <v>471833.49</v>
      </c>
      <c r="T26" s="2">
        <f t="shared" si="2"/>
        <v>0</v>
      </c>
      <c r="U26" s="2">
        <f t="shared" si="2"/>
        <v>4029.34</v>
      </c>
      <c r="V26" s="2">
        <f t="shared" si="2"/>
        <v>24.11</v>
      </c>
      <c r="W26" s="2">
        <f t="shared" si="2"/>
        <v>0</v>
      </c>
      <c r="X26" s="2">
        <f t="shared" si="2"/>
        <v>388130.86</v>
      </c>
      <c r="Y26" s="2">
        <f t="shared" si="2"/>
        <v>230221.34</v>
      </c>
      <c r="Z26" s="2">
        <f t="shared" si="2"/>
        <v>0</v>
      </c>
      <c r="AA26" s="2">
        <f t="shared" si="2"/>
        <v>0</v>
      </c>
      <c r="AB26" s="2">
        <f t="shared" si="2"/>
        <v>0</v>
      </c>
      <c r="AC26" s="2">
        <f t="shared" si="2"/>
        <v>0</v>
      </c>
      <c r="AD26" s="2">
        <f t="shared" si="2"/>
        <v>0</v>
      </c>
      <c r="AE26" s="2">
        <f t="shared" si="2"/>
        <v>0</v>
      </c>
      <c r="AF26" s="2">
        <f t="shared" si="2"/>
        <v>0</v>
      </c>
      <c r="AG26" s="2">
        <f t="shared" si="2"/>
        <v>0</v>
      </c>
      <c r="AH26" s="2">
        <f t="shared" si="2"/>
        <v>0</v>
      </c>
      <c r="AI26" s="2">
        <f t="shared" si="2"/>
        <v>0</v>
      </c>
      <c r="AJ26" s="2">
        <f t="shared" si="2"/>
        <v>0</v>
      </c>
      <c r="AK26" s="2">
        <f t="shared" si="2"/>
        <v>0</v>
      </c>
      <c r="AL26" s="2">
        <f t="shared" si="2"/>
        <v>0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7" ht="12.75">
      <c r="G27">
        <v>0</v>
      </c>
    </row>
    <row r="28" spans="1:67" ht="12.75">
      <c r="A28" s="1">
        <v>5</v>
      </c>
      <c r="B28" s="1">
        <v>1</v>
      </c>
      <c r="C28" s="1"/>
      <c r="D28" s="1">
        <f>ROW(A51)</f>
        <v>51</v>
      </c>
      <c r="E28" s="1"/>
      <c r="F28" s="1" t="s">
        <v>21</v>
      </c>
      <c r="G28" s="1" t="s">
        <v>22</v>
      </c>
      <c r="H28" s="1"/>
      <c r="I28" s="1"/>
      <c r="J28" s="1"/>
      <c r="K28" s="1"/>
      <c r="L28" s="1"/>
      <c r="M28" s="1"/>
      <c r="N28" s="1" t="s">
        <v>6</v>
      </c>
      <c r="O28" s="1"/>
      <c r="P28" s="1"/>
      <c r="Q28" s="1"/>
      <c r="R28" s="1" t="s">
        <v>6</v>
      </c>
      <c r="S28" s="1" t="s">
        <v>6</v>
      </c>
      <c r="T28" s="1" t="s">
        <v>6</v>
      </c>
      <c r="U28" s="1" t="s">
        <v>6</v>
      </c>
      <c r="V28" s="1"/>
      <c r="W28" s="1"/>
      <c r="X28" s="1">
        <v>0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v>0</v>
      </c>
      <c r="AM28" s="1"/>
      <c r="AN28" s="1"/>
      <c r="AO28" s="1" t="s">
        <v>6</v>
      </c>
      <c r="AP28" s="1" t="s">
        <v>6</v>
      </c>
      <c r="AQ28" s="1" t="s">
        <v>6</v>
      </c>
      <c r="AR28" s="1"/>
      <c r="AS28" s="1"/>
      <c r="AT28" s="1" t="s">
        <v>6</v>
      </c>
      <c r="AU28" s="1" t="s">
        <v>6</v>
      </c>
      <c r="AV28" s="1" t="s">
        <v>6</v>
      </c>
      <c r="AW28" s="1" t="s">
        <v>6</v>
      </c>
      <c r="AX28" s="1" t="s">
        <v>6</v>
      </c>
      <c r="AY28" s="1" t="s">
        <v>6</v>
      </c>
      <c r="AZ28" s="1" t="s">
        <v>6</v>
      </c>
      <c r="BA28" s="1" t="s">
        <v>6</v>
      </c>
      <c r="BB28" s="1" t="s">
        <v>6</v>
      </c>
      <c r="BC28" s="1" t="s">
        <v>6</v>
      </c>
      <c r="BD28" s="1" t="s">
        <v>6</v>
      </c>
      <c r="BE28" s="1" t="s">
        <v>23</v>
      </c>
      <c r="BF28" s="1">
        <v>0</v>
      </c>
      <c r="BG28" s="1">
        <v>0</v>
      </c>
      <c r="BH28" s="1" t="s">
        <v>6</v>
      </c>
      <c r="BI28" s="1" t="s">
        <v>6</v>
      </c>
      <c r="BJ28" s="1" t="s">
        <v>6</v>
      </c>
      <c r="BK28" s="1" t="s">
        <v>6</v>
      </c>
      <c r="BL28" s="1" t="s">
        <v>6</v>
      </c>
      <c r="BM28" s="1">
        <v>0</v>
      </c>
      <c r="BN28" s="1" t="s">
        <v>6</v>
      </c>
      <c r="BO28" s="1">
        <v>0</v>
      </c>
    </row>
    <row r="30" spans="1:43" ht="12.75">
      <c r="A30" s="2">
        <v>52</v>
      </c>
      <c r="B30" s="2">
        <f aca="true" t="shared" si="3" ref="B30:AQ30">B51</f>
        <v>1</v>
      </c>
      <c r="C30" s="2">
        <f t="shared" si="3"/>
        <v>5</v>
      </c>
      <c r="D30" s="2">
        <f t="shared" si="3"/>
        <v>28</v>
      </c>
      <c r="E30" s="2">
        <f t="shared" si="3"/>
        <v>0</v>
      </c>
      <c r="F30" s="2" t="str">
        <f t="shared" si="3"/>
        <v>Новый подраздел</v>
      </c>
      <c r="G30" s="2" t="str">
        <f t="shared" si="3"/>
        <v>Строительные работы</v>
      </c>
      <c r="H30" s="2">
        <f t="shared" si="3"/>
        <v>0</v>
      </c>
      <c r="I30" s="2">
        <f t="shared" si="3"/>
        <v>0</v>
      </c>
      <c r="J30" s="2">
        <f t="shared" si="3"/>
        <v>0</v>
      </c>
      <c r="K30" s="2">
        <f t="shared" si="3"/>
        <v>0</v>
      </c>
      <c r="L30" s="2">
        <f t="shared" si="3"/>
        <v>0</v>
      </c>
      <c r="M30" s="2">
        <f t="shared" si="3"/>
        <v>0</v>
      </c>
      <c r="N30" s="2">
        <f t="shared" si="3"/>
        <v>0</v>
      </c>
      <c r="O30" s="2">
        <f t="shared" si="3"/>
        <v>6583921.74</v>
      </c>
      <c r="P30" s="2">
        <f t="shared" si="3"/>
        <v>6061003.52</v>
      </c>
      <c r="Q30" s="2">
        <f t="shared" si="3"/>
        <v>51084.73</v>
      </c>
      <c r="R30" s="2">
        <f t="shared" si="3"/>
        <v>5273.82</v>
      </c>
      <c r="S30" s="2">
        <f t="shared" si="3"/>
        <v>471833.49</v>
      </c>
      <c r="T30" s="2">
        <f t="shared" si="3"/>
        <v>0</v>
      </c>
      <c r="U30" s="2">
        <f t="shared" si="3"/>
        <v>4029.34</v>
      </c>
      <c r="V30" s="2">
        <f t="shared" si="3"/>
        <v>24.11</v>
      </c>
      <c r="W30" s="2">
        <f t="shared" si="3"/>
        <v>0</v>
      </c>
      <c r="X30" s="2">
        <f t="shared" si="3"/>
        <v>388130.86</v>
      </c>
      <c r="Y30" s="2">
        <f t="shared" si="3"/>
        <v>230221.34</v>
      </c>
      <c r="Z30" s="2">
        <f t="shared" si="3"/>
        <v>0</v>
      </c>
      <c r="AA30" s="2">
        <f t="shared" si="3"/>
        <v>0</v>
      </c>
      <c r="AB30" s="2">
        <f t="shared" si="3"/>
        <v>6583921.74</v>
      </c>
      <c r="AC30" s="2">
        <f t="shared" si="3"/>
        <v>6061003.52</v>
      </c>
      <c r="AD30" s="2">
        <f t="shared" si="3"/>
        <v>51084.73</v>
      </c>
      <c r="AE30" s="2">
        <f t="shared" si="3"/>
        <v>5273.82</v>
      </c>
      <c r="AF30" s="2">
        <f t="shared" si="3"/>
        <v>471833.49</v>
      </c>
      <c r="AG30" s="2">
        <f t="shared" si="3"/>
        <v>0</v>
      </c>
      <c r="AH30" s="2">
        <f t="shared" si="3"/>
        <v>4029.34</v>
      </c>
      <c r="AI30" s="2">
        <f t="shared" si="3"/>
        <v>24.11</v>
      </c>
      <c r="AJ30" s="2">
        <f t="shared" si="3"/>
        <v>0</v>
      </c>
      <c r="AK30" s="2">
        <f t="shared" si="3"/>
        <v>388130.86</v>
      </c>
      <c r="AL30" s="2">
        <f t="shared" si="3"/>
        <v>230221.34</v>
      </c>
      <c r="AM30" s="2">
        <f t="shared" si="3"/>
        <v>0</v>
      </c>
      <c r="AN30" s="2">
        <f t="shared" si="3"/>
        <v>0</v>
      </c>
      <c r="AO30" s="2">
        <f t="shared" si="3"/>
        <v>0</v>
      </c>
      <c r="AP30" s="2">
        <f t="shared" si="3"/>
        <v>0</v>
      </c>
      <c r="AQ30" s="2">
        <f t="shared" si="3"/>
        <v>0</v>
      </c>
    </row>
    <row r="32" spans="1:194" ht="12.75">
      <c r="A32">
        <v>17</v>
      </c>
      <c r="B32">
        <v>1</v>
      </c>
      <c r="C32">
        <f>ROW(SmtRes!A9)</f>
        <v>9</v>
      </c>
      <c r="D32">
        <f>ROW(EtalonRes!A9)</f>
        <v>9</v>
      </c>
      <c r="E32" t="s">
        <v>24</v>
      </c>
      <c r="F32" t="s">
        <v>25</v>
      </c>
      <c r="G32" t="s">
        <v>26</v>
      </c>
      <c r="H32" t="s">
        <v>27</v>
      </c>
      <c r="I32">
        <v>6</v>
      </c>
      <c r="J32">
        <v>0</v>
      </c>
      <c r="O32">
        <f aca="true" t="shared" si="4" ref="O32:O49">ROUND(CP32,2)</f>
        <v>1473.41</v>
      </c>
      <c r="P32">
        <f aca="true" t="shared" si="5" ref="P32:P49">ROUND(CQ32*I32,2)</f>
        <v>0</v>
      </c>
      <c r="Q32">
        <f aca="true" t="shared" si="6" ref="Q32:Q49">ROUND(CR32*I32,2)</f>
        <v>209.21</v>
      </c>
      <c r="R32">
        <f aca="true" t="shared" si="7" ref="R32:R49">ROUND(CS32*I32,2)</f>
        <v>6.17</v>
      </c>
      <c r="S32">
        <f aca="true" t="shared" si="8" ref="S32:S49">ROUND(CT32*I32,2)</f>
        <v>1264.2</v>
      </c>
      <c r="T32">
        <f aca="true" t="shared" si="9" ref="T32:T49">ROUND(CU32*I32,2)</f>
        <v>0</v>
      </c>
      <c r="U32">
        <f aca="true" t="shared" si="10" ref="U32:U49">CV32*I32</f>
        <v>7.055999999999999</v>
      </c>
      <c r="V32">
        <f aca="true" t="shared" si="11" ref="V32:V49">CW32*I32</f>
        <v>0.024</v>
      </c>
      <c r="W32">
        <f aca="true" t="shared" si="12" ref="W32:W49">ROUND(CX32*I32,2)</f>
        <v>0</v>
      </c>
      <c r="X32">
        <f aca="true" t="shared" si="13" ref="X32:X49">ROUND(CY32,2)</f>
        <v>1384.7</v>
      </c>
      <c r="Y32">
        <f aca="true" t="shared" si="14" ref="Y32:Y49">ROUND(CZ32,2)</f>
        <v>838.44</v>
      </c>
      <c r="AA32">
        <v>0</v>
      </c>
      <c r="AB32">
        <f aca="true" t="shared" si="15" ref="AB32:AB49">(AC32+AD32+AF32)</f>
        <v>17.356</v>
      </c>
      <c r="AC32">
        <f>((ES32*0))</f>
        <v>0</v>
      </c>
      <c r="AD32">
        <f>((ET32*0.4))</f>
        <v>5.88</v>
      </c>
      <c r="AE32">
        <f>((EU32*0.4))</f>
        <v>0.05600000000000001</v>
      </c>
      <c r="AF32">
        <f>((EV32*0.4))</f>
        <v>11.476</v>
      </c>
      <c r="AG32">
        <f>(AP32)</f>
        <v>0</v>
      </c>
      <c r="AH32">
        <f>((EW32*0.4))</f>
        <v>1.176</v>
      </c>
      <c r="AI32">
        <f>((EX32*0.4))</f>
        <v>0.004</v>
      </c>
      <c r="AJ32">
        <f>(AS32)</f>
        <v>0</v>
      </c>
      <c r="AK32">
        <v>391.46</v>
      </c>
      <c r="AL32">
        <v>348.07</v>
      </c>
      <c r="AM32">
        <v>14.7</v>
      </c>
      <c r="AN32">
        <v>0.14</v>
      </c>
      <c r="AO32">
        <v>28.69</v>
      </c>
      <c r="AP32">
        <v>0</v>
      </c>
      <c r="AQ32">
        <v>2.94</v>
      </c>
      <c r="AR32">
        <v>0.01</v>
      </c>
      <c r="AS32">
        <v>0</v>
      </c>
      <c r="AT32">
        <v>109</v>
      </c>
      <c r="AU32">
        <v>66</v>
      </c>
      <c r="AV32">
        <v>1</v>
      </c>
      <c r="AW32">
        <v>1</v>
      </c>
      <c r="AX32">
        <v>1</v>
      </c>
      <c r="AY32">
        <v>1</v>
      </c>
      <c r="AZ32">
        <v>8.81</v>
      </c>
      <c r="BA32">
        <v>18.36</v>
      </c>
      <c r="BB32">
        <v>5.93</v>
      </c>
      <c r="BC32">
        <v>7.03</v>
      </c>
      <c r="BH32">
        <v>0</v>
      </c>
      <c r="BI32">
        <v>1</v>
      </c>
      <c r="BJ32" t="s">
        <v>28</v>
      </c>
      <c r="BM32">
        <v>16001</v>
      </c>
      <c r="BN32">
        <v>0</v>
      </c>
      <c r="BO32" t="s">
        <v>25</v>
      </c>
      <c r="BP32">
        <v>1</v>
      </c>
      <c r="BQ32">
        <v>2</v>
      </c>
      <c r="BR32">
        <v>0</v>
      </c>
      <c r="BS32">
        <v>18.36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128</v>
      </c>
      <c r="CA32">
        <v>83</v>
      </c>
      <c r="CF32">
        <v>0</v>
      </c>
      <c r="CG32">
        <v>0</v>
      </c>
      <c r="CM32">
        <v>0</v>
      </c>
      <c r="CO32">
        <v>0</v>
      </c>
      <c r="CP32">
        <f aca="true" t="shared" si="16" ref="CP32:CP49">(P32+Q32+S32)</f>
        <v>1473.41</v>
      </c>
      <c r="CQ32">
        <f aca="true" t="shared" si="17" ref="CQ32:CQ49">(AC32)*BC32</f>
        <v>0</v>
      </c>
      <c r="CR32">
        <f aca="true" t="shared" si="18" ref="CR32:CR49">(AD32)*BB32</f>
        <v>34.8684</v>
      </c>
      <c r="CS32">
        <f aca="true" t="shared" si="19" ref="CS32:CS49">(AE32)*BS32</f>
        <v>1.0281600000000002</v>
      </c>
      <c r="CT32">
        <f aca="true" t="shared" si="20" ref="CT32:CT49">(AF32)*BA32</f>
        <v>210.69936</v>
      </c>
      <c r="CU32">
        <f aca="true" t="shared" si="21" ref="CU32:CU49">(AG32)*BT32</f>
        <v>0</v>
      </c>
      <c r="CV32">
        <f aca="true" t="shared" si="22" ref="CV32:CV49">(AH32)*BU32</f>
        <v>1.176</v>
      </c>
      <c r="CW32">
        <f aca="true" t="shared" si="23" ref="CW32:CW49">(AI32)*BV32</f>
        <v>0.004</v>
      </c>
      <c r="CX32">
        <f aca="true" t="shared" si="24" ref="CX32:CX49">(AJ32)*BW32</f>
        <v>0</v>
      </c>
      <c r="CY32">
        <f aca="true" t="shared" si="25" ref="CY32:CY46">((S32+R32)*(ROUND((FX32*IF(1,(IF(0,0.94,0.85)*IF(0,0.85,1)),1)),IF(1,0,2))/100))</f>
        <v>1384.7033000000001</v>
      </c>
      <c r="CZ32">
        <f aca="true" t="shared" si="26" ref="CZ32:CZ46">((S32+R32)*(ROUND((FY32*IF(1,0.8,1)),IF(1,0,2))/100))</f>
        <v>838.4442000000001</v>
      </c>
      <c r="DD32" t="s">
        <v>29</v>
      </c>
      <c r="DE32" t="s">
        <v>30</v>
      </c>
      <c r="DF32" t="s">
        <v>30</v>
      </c>
      <c r="DG32" t="s">
        <v>30</v>
      </c>
      <c r="DI32" t="s">
        <v>30</v>
      </c>
      <c r="DJ32" t="s">
        <v>30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27</v>
      </c>
      <c r="DW32" t="s">
        <v>31</v>
      </c>
      <c r="DX32">
        <v>1</v>
      </c>
      <c r="EE32">
        <v>20981256</v>
      </c>
      <c r="EF32">
        <v>2</v>
      </c>
      <c r="EG32" t="s">
        <v>32</v>
      </c>
      <c r="EH32">
        <v>0</v>
      </c>
      <c r="EJ32">
        <v>1</v>
      </c>
      <c r="EK32">
        <v>16001</v>
      </c>
      <c r="EL32" t="s">
        <v>33</v>
      </c>
      <c r="EM32" t="s">
        <v>34</v>
      </c>
      <c r="EQ32">
        <v>0</v>
      </c>
      <c r="ER32">
        <v>391.46</v>
      </c>
      <c r="ES32">
        <v>348.07</v>
      </c>
      <c r="ET32">
        <v>14.7</v>
      </c>
      <c r="EU32">
        <v>0.14</v>
      </c>
      <c r="EV32">
        <v>28.69</v>
      </c>
      <c r="EW32">
        <v>2.94</v>
      </c>
      <c r="EX32">
        <v>0.01</v>
      </c>
      <c r="EY32">
        <v>0</v>
      </c>
      <c r="EZ32">
        <v>0</v>
      </c>
      <c r="FQ32">
        <v>0</v>
      </c>
      <c r="FR32">
        <f aca="true" t="shared" si="27" ref="FR32:FR49">ROUND(IF(AND(AA32=0,BI32=3),P32,0),2)</f>
        <v>0</v>
      </c>
      <c r="FS32">
        <v>0</v>
      </c>
      <c r="FV32" t="s">
        <v>35</v>
      </c>
      <c r="FW32" t="s">
        <v>36</v>
      </c>
      <c r="FX32">
        <v>128</v>
      </c>
      <c r="FY32">
        <v>83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</row>
    <row r="33" spans="1:194" ht="12.75">
      <c r="A33">
        <v>17</v>
      </c>
      <c r="B33">
        <v>1</v>
      </c>
      <c r="C33">
        <f>ROW(SmtRes!A18)</f>
        <v>18</v>
      </c>
      <c r="D33">
        <f>ROW(EtalonRes!A18)</f>
        <v>18</v>
      </c>
      <c r="E33" t="s">
        <v>37</v>
      </c>
      <c r="F33" t="s">
        <v>25</v>
      </c>
      <c r="G33" t="s">
        <v>38</v>
      </c>
      <c r="H33" t="s">
        <v>27</v>
      </c>
      <c r="I33">
        <v>6</v>
      </c>
      <c r="J33">
        <v>0</v>
      </c>
      <c r="O33">
        <f t="shared" si="4"/>
        <v>3683.52</v>
      </c>
      <c r="P33">
        <f t="shared" si="5"/>
        <v>0</v>
      </c>
      <c r="Q33">
        <f t="shared" si="6"/>
        <v>523.03</v>
      </c>
      <c r="R33">
        <f t="shared" si="7"/>
        <v>15.42</v>
      </c>
      <c r="S33">
        <f t="shared" si="8"/>
        <v>3160.49</v>
      </c>
      <c r="T33">
        <f t="shared" si="9"/>
        <v>0</v>
      </c>
      <c r="U33">
        <f t="shared" si="10"/>
        <v>17.64</v>
      </c>
      <c r="V33">
        <f t="shared" si="11"/>
        <v>0.06</v>
      </c>
      <c r="W33">
        <f t="shared" si="12"/>
        <v>0</v>
      </c>
      <c r="X33">
        <f t="shared" si="13"/>
        <v>3461.74</v>
      </c>
      <c r="Y33">
        <f t="shared" si="14"/>
        <v>2096.1</v>
      </c>
      <c r="AA33">
        <v>0</v>
      </c>
      <c r="AB33">
        <f t="shared" si="15"/>
        <v>43.39</v>
      </c>
      <c r="AC33">
        <f>((ES33*0))</f>
        <v>0</v>
      </c>
      <c r="AD33">
        <f aca="true" t="shared" si="28" ref="AD33:AF34">(ET33)</f>
        <v>14.7</v>
      </c>
      <c r="AE33">
        <f t="shared" si="28"/>
        <v>0.14</v>
      </c>
      <c r="AF33">
        <f t="shared" si="28"/>
        <v>28.69</v>
      </c>
      <c r="AG33">
        <f>(AP33)</f>
        <v>0</v>
      </c>
      <c r="AH33">
        <f>(EW33)</f>
        <v>2.94</v>
      </c>
      <c r="AI33">
        <f>(EX33)</f>
        <v>0.01</v>
      </c>
      <c r="AJ33">
        <f>(AS33)</f>
        <v>0</v>
      </c>
      <c r="AK33">
        <v>391.46</v>
      </c>
      <c r="AL33">
        <v>348.07</v>
      </c>
      <c r="AM33">
        <v>14.7</v>
      </c>
      <c r="AN33">
        <v>0.14</v>
      </c>
      <c r="AO33">
        <v>28.69</v>
      </c>
      <c r="AP33">
        <v>0</v>
      </c>
      <c r="AQ33">
        <v>2.94</v>
      </c>
      <c r="AR33">
        <v>0.01</v>
      </c>
      <c r="AS33">
        <v>0</v>
      </c>
      <c r="AT33">
        <v>109</v>
      </c>
      <c r="AU33">
        <v>66</v>
      </c>
      <c r="AV33">
        <v>1</v>
      </c>
      <c r="AW33">
        <v>1</v>
      </c>
      <c r="AX33">
        <v>1</v>
      </c>
      <c r="AY33">
        <v>1</v>
      </c>
      <c r="AZ33">
        <v>8.81</v>
      </c>
      <c r="BA33">
        <v>18.36</v>
      </c>
      <c r="BB33">
        <v>5.93</v>
      </c>
      <c r="BC33">
        <v>7.03</v>
      </c>
      <c r="BH33">
        <v>0</v>
      </c>
      <c r="BI33">
        <v>1</v>
      </c>
      <c r="BJ33" t="s">
        <v>28</v>
      </c>
      <c r="BM33">
        <v>16001</v>
      </c>
      <c r="BN33">
        <v>0</v>
      </c>
      <c r="BO33" t="s">
        <v>25</v>
      </c>
      <c r="BP33">
        <v>1</v>
      </c>
      <c r="BQ33">
        <v>2</v>
      </c>
      <c r="BR33">
        <v>0</v>
      </c>
      <c r="BS33">
        <v>18.36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128</v>
      </c>
      <c r="CA33">
        <v>83</v>
      </c>
      <c r="CF33">
        <v>0</v>
      </c>
      <c r="CG33">
        <v>0</v>
      </c>
      <c r="CM33">
        <v>0</v>
      </c>
      <c r="CO33">
        <v>0</v>
      </c>
      <c r="CP33">
        <f t="shared" si="16"/>
        <v>3683.5199999999995</v>
      </c>
      <c r="CQ33">
        <f t="shared" si="17"/>
        <v>0</v>
      </c>
      <c r="CR33">
        <f t="shared" si="18"/>
        <v>87.17099999999999</v>
      </c>
      <c r="CS33">
        <f t="shared" si="19"/>
        <v>2.5704000000000002</v>
      </c>
      <c r="CT33">
        <f t="shared" si="20"/>
        <v>526.7484000000001</v>
      </c>
      <c r="CU33">
        <f t="shared" si="21"/>
        <v>0</v>
      </c>
      <c r="CV33">
        <f t="shared" si="22"/>
        <v>2.94</v>
      </c>
      <c r="CW33">
        <f t="shared" si="23"/>
        <v>0.01</v>
      </c>
      <c r="CX33">
        <f t="shared" si="24"/>
        <v>0</v>
      </c>
      <c r="CY33">
        <f t="shared" si="25"/>
        <v>3461.7419</v>
      </c>
      <c r="CZ33">
        <f t="shared" si="26"/>
        <v>2096.1006</v>
      </c>
      <c r="DD33" t="s">
        <v>29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27</v>
      </c>
      <c r="DW33" t="s">
        <v>31</v>
      </c>
      <c r="DX33">
        <v>1</v>
      </c>
      <c r="EE33">
        <v>20981256</v>
      </c>
      <c r="EF33">
        <v>2</v>
      </c>
      <c r="EG33" t="s">
        <v>32</v>
      </c>
      <c r="EH33">
        <v>0</v>
      </c>
      <c r="EJ33">
        <v>1</v>
      </c>
      <c r="EK33">
        <v>16001</v>
      </c>
      <c r="EL33" t="s">
        <v>33</v>
      </c>
      <c r="EM33" t="s">
        <v>34</v>
      </c>
      <c r="EQ33">
        <v>0</v>
      </c>
      <c r="ER33">
        <v>391.46</v>
      </c>
      <c r="ES33">
        <v>348.07</v>
      </c>
      <c r="ET33">
        <v>14.7</v>
      </c>
      <c r="EU33">
        <v>0.14</v>
      </c>
      <c r="EV33">
        <v>28.69</v>
      </c>
      <c r="EW33">
        <v>2.94</v>
      </c>
      <c r="EX33">
        <v>0.01</v>
      </c>
      <c r="EY33">
        <v>0</v>
      </c>
      <c r="EZ33">
        <v>0</v>
      </c>
      <c r="FQ33">
        <v>0</v>
      </c>
      <c r="FR33">
        <f t="shared" si="27"/>
        <v>0</v>
      </c>
      <c r="FS33">
        <v>0</v>
      </c>
      <c r="FV33" t="s">
        <v>35</v>
      </c>
      <c r="FW33" t="s">
        <v>36</v>
      </c>
      <c r="FX33">
        <v>128</v>
      </c>
      <c r="FY33">
        <v>83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</row>
    <row r="34" spans="1:194" ht="12.75">
      <c r="A34">
        <v>17</v>
      </c>
      <c r="B34">
        <v>1</v>
      </c>
      <c r="C34">
        <f>ROW(SmtRes!A27)</f>
        <v>27</v>
      </c>
      <c r="D34">
        <f>ROW(EtalonRes!A26)</f>
        <v>26</v>
      </c>
      <c r="E34" t="s">
        <v>39</v>
      </c>
      <c r="F34" t="s">
        <v>40</v>
      </c>
      <c r="G34" t="s">
        <v>41</v>
      </c>
      <c r="H34" t="s">
        <v>42</v>
      </c>
      <c r="I34">
        <v>8.1</v>
      </c>
      <c r="J34">
        <v>0</v>
      </c>
      <c r="O34">
        <f t="shared" si="4"/>
        <v>158608.02</v>
      </c>
      <c r="P34">
        <f t="shared" si="5"/>
        <v>55389.6</v>
      </c>
      <c r="Q34">
        <f t="shared" si="6"/>
        <v>6417.69</v>
      </c>
      <c r="R34">
        <f t="shared" si="7"/>
        <v>2064.18</v>
      </c>
      <c r="S34">
        <f t="shared" si="8"/>
        <v>96800.73</v>
      </c>
      <c r="T34">
        <f t="shared" si="9"/>
        <v>0</v>
      </c>
      <c r="U34">
        <f t="shared" si="10"/>
        <v>1052.19</v>
      </c>
      <c r="V34">
        <f t="shared" si="11"/>
        <v>11.177999999999999</v>
      </c>
      <c r="W34">
        <f t="shared" si="12"/>
        <v>0</v>
      </c>
      <c r="X34">
        <f t="shared" si="13"/>
        <v>70194.09</v>
      </c>
      <c r="Y34">
        <f t="shared" si="14"/>
        <v>51409.75</v>
      </c>
      <c r="AA34">
        <v>0</v>
      </c>
      <c r="AB34">
        <f t="shared" si="15"/>
        <v>1841.8600000000001</v>
      </c>
      <c r="AC34">
        <f>(ES34)</f>
        <v>1121.02</v>
      </c>
      <c r="AD34">
        <f t="shared" si="28"/>
        <v>69.93</v>
      </c>
      <c r="AE34">
        <f t="shared" si="28"/>
        <v>13.88</v>
      </c>
      <c r="AF34">
        <f t="shared" si="28"/>
        <v>650.91</v>
      </c>
      <c r="AG34">
        <f>(AP34)</f>
        <v>0</v>
      </c>
      <c r="AH34">
        <f>(EW34)</f>
        <v>129.9</v>
      </c>
      <c r="AI34">
        <f>(EX34)</f>
        <v>1.38</v>
      </c>
      <c r="AJ34">
        <f>(AS34)</f>
        <v>0</v>
      </c>
      <c r="AK34">
        <v>1841.8600000000001</v>
      </c>
      <c r="AL34">
        <v>1121.02</v>
      </c>
      <c r="AM34">
        <v>69.93</v>
      </c>
      <c r="AN34">
        <v>13.88</v>
      </c>
      <c r="AO34">
        <v>650.91</v>
      </c>
      <c r="AP34">
        <v>0</v>
      </c>
      <c r="AQ34">
        <v>129.9</v>
      </c>
      <c r="AR34">
        <v>1.38</v>
      </c>
      <c r="AS34">
        <v>0</v>
      </c>
      <c r="AT34">
        <v>71</v>
      </c>
      <c r="AU34">
        <v>52</v>
      </c>
      <c r="AV34">
        <v>1</v>
      </c>
      <c r="AW34">
        <v>1</v>
      </c>
      <c r="AX34">
        <v>1</v>
      </c>
      <c r="AY34">
        <v>1</v>
      </c>
      <c r="AZ34">
        <v>13.54</v>
      </c>
      <c r="BA34">
        <v>18.36</v>
      </c>
      <c r="BB34">
        <v>11.33</v>
      </c>
      <c r="BC34">
        <v>6.1</v>
      </c>
      <c r="BH34">
        <v>0</v>
      </c>
      <c r="BI34">
        <v>1</v>
      </c>
      <c r="BJ34" t="s">
        <v>43</v>
      </c>
      <c r="BM34">
        <v>58001</v>
      </c>
      <c r="BN34">
        <v>0</v>
      </c>
      <c r="BO34" t="s">
        <v>40</v>
      </c>
      <c r="BP34">
        <v>1</v>
      </c>
      <c r="BQ34">
        <v>6</v>
      </c>
      <c r="BR34">
        <v>0</v>
      </c>
      <c r="BS34">
        <v>18.36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83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16"/>
        <v>158608.02</v>
      </c>
      <c r="CQ34">
        <f t="shared" si="17"/>
        <v>6838.222</v>
      </c>
      <c r="CR34">
        <f t="shared" si="18"/>
        <v>792.3069</v>
      </c>
      <c r="CS34">
        <f t="shared" si="19"/>
        <v>254.8368</v>
      </c>
      <c r="CT34">
        <f t="shared" si="20"/>
        <v>11950.7076</v>
      </c>
      <c r="CU34">
        <f t="shared" si="21"/>
        <v>0</v>
      </c>
      <c r="CV34">
        <f t="shared" si="22"/>
        <v>129.9</v>
      </c>
      <c r="CW34">
        <f t="shared" si="23"/>
        <v>1.38</v>
      </c>
      <c r="CX34">
        <f t="shared" si="24"/>
        <v>0</v>
      </c>
      <c r="CY34">
        <f t="shared" si="25"/>
        <v>70194.08609999999</v>
      </c>
      <c r="CZ34">
        <f t="shared" si="26"/>
        <v>51409.7532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42</v>
      </c>
      <c r="DW34" t="s">
        <v>44</v>
      </c>
      <c r="DX34">
        <v>100</v>
      </c>
      <c r="EE34">
        <v>20981309</v>
      </c>
      <c r="EF34">
        <v>6</v>
      </c>
      <c r="EG34" t="s">
        <v>45</v>
      </c>
      <c r="EH34">
        <v>0</v>
      </c>
      <c r="EJ34">
        <v>1</v>
      </c>
      <c r="EK34">
        <v>58001</v>
      </c>
      <c r="EL34" t="s">
        <v>46</v>
      </c>
      <c r="EM34" t="s">
        <v>47</v>
      </c>
      <c r="EQ34">
        <v>64</v>
      </c>
      <c r="ER34">
        <v>1841.8600000000001</v>
      </c>
      <c r="ES34">
        <v>1121.02</v>
      </c>
      <c r="ET34">
        <v>69.93</v>
      </c>
      <c r="EU34">
        <v>13.88</v>
      </c>
      <c r="EV34">
        <v>650.91</v>
      </c>
      <c r="EW34">
        <v>129.9</v>
      </c>
      <c r="EX34">
        <v>1.38</v>
      </c>
      <c r="EY34">
        <v>0</v>
      </c>
      <c r="EZ34">
        <v>0</v>
      </c>
      <c r="FQ34">
        <v>0</v>
      </c>
      <c r="FR34">
        <f t="shared" si="27"/>
        <v>0</v>
      </c>
      <c r="FS34">
        <v>0</v>
      </c>
      <c r="FV34" t="s">
        <v>35</v>
      </c>
      <c r="FW34" t="s">
        <v>36</v>
      </c>
      <c r="FX34">
        <v>83</v>
      </c>
      <c r="FY34">
        <v>65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</row>
    <row r="35" spans="1:194" ht="12.75">
      <c r="A35">
        <v>18</v>
      </c>
      <c r="B35">
        <v>1</v>
      </c>
      <c r="C35">
        <v>26</v>
      </c>
      <c r="E35" t="s">
        <v>48</v>
      </c>
      <c r="F35" t="s">
        <v>49</v>
      </c>
      <c r="G35" t="s">
        <v>50</v>
      </c>
      <c r="H35" t="s">
        <v>51</v>
      </c>
      <c r="I35">
        <f>I34*J35</f>
        <v>16.2</v>
      </c>
      <c r="J35">
        <v>2</v>
      </c>
      <c r="O35">
        <f t="shared" si="4"/>
        <v>59591.81</v>
      </c>
      <c r="P35">
        <f t="shared" si="5"/>
        <v>59591.81</v>
      </c>
      <c r="Q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11"/>
        <v>0</v>
      </c>
      <c r="W35">
        <f t="shared" si="12"/>
        <v>0</v>
      </c>
      <c r="X35">
        <f t="shared" si="13"/>
        <v>0</v>
      </c>
      <c r="Y35">
        <f t="shared" si="14"/>
        <v>0</v>
      </c>
      <c r="AA35">
        <v>0</v>
      </c>
      <c r="AB35">
        <f t="shared" si="15"/>
        <v>711.51</v>
      </c>
      <c r="AC35">
        <f aca="true" t="shared" si="29" ref="AC35:AJ36">AL35</f>
        <v>711.51</v>
      </c>
      <c r="AD35">
        <f t="shared" si="29"/>
        <v>0</v>
      </c>
      <c r="AE35">
        <f t="shared" si="29"/>
        <v>0</v>
      </c>
      <c r="AF35">
        <f t="shared" si="29"/>
        <v>0</v>
      </c>
      <c r="AG35">
        <f t="shared" si="29"/>
        <v>0</v>
      </c>
      <c r="AH35">
        <f t="shared" si="29"/>
        <v>0</v>
      </c>
      <c r="AI35">
        <f t="shared" si="29"/>
        <v>0</v>
      </c>
      <c r="AJ35">
        <f t="shared" si="29"/>
        <v>0</v>
      </c>
      <c r="AK35">
        <v>711.51</v>
      </c>
      <c r="AL35">
        <v>711.51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71</v>
      </c>
      <c r="AU35">
        <v>52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5.17</v>
      </c>
      <c r="BH35">
        <v>3</v>
      </c>
      <c r="BI35">
        <v>1</v>
      </c>
      <c r="BJ35" t="s">
        <v>52</v>
      </c>
      <c r="BM35">
        <v>58001</v>
      </c>
      <c r="BN35">
        <v>0</v>
      </c>
      <c r="BO35" t="s">
        <v>49</v>
      </c>
      <c r="BP35">
        <v>1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83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 t="shared" si="16"/>
        <v>59591.81</v>
      </c>
      <c r="CQ35">
        <f t="shared" si="17"/>
        <v>3678.5067</v>
      </c>
      <c r="CR35">
        <f t="shared" si="18"/>
        <v>0</v>
      </c>
      <c r="CS35">
        <f t="shared" si="19"/>
        <v>0</v>
      </c>
      <c r="CT35">
        <f t="shared" si="20"/>
        <v>0</v>
      </c>
      <c r="CU35">
        <f t="shared" si="21"/>
        <v>0</v>
      </c>
      <c r="CV35">
        <f t="shared" si="22"/>
        <v>0</v>
      </c>
      <c r="CW35">
        <f t="shared" si="23"/>
        <v>0</v>
      </c>
      <c r="CX35">
        <f t="shared" si="24"/>
        <v>0</v>
      </c>
      <c r="CY35">
        <f t="shared" si="25"/>
        <v>0</v>
      </c>
      <c r="CZ35">
        <f t="shared" si="26"/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1007</v>
      </c>
      <c r="DV35" t="s">
        <v>51</v>
      </c>
      <c r="DW35" t="s">
        <v>51</v>
      </c>
      <c r="DX35">
        <v>1</v>
      </c>
      <c r="EE35">
        <v>20981309</v>
      </c>
      <c r="EF35">
        <v>6</v>
      </c>
      <c r="EG35" t="s">
        <v>45</v>
      </c>
      <c r="EH35">
        <v>0</v>
      </c>
      <c r="EJ35">
        <v>1</v>
      </c>
      <c r="EK35">
        <v>58001</v>
      </c>
      <c r="EL35" t="s">
        <v>46</v>
      </c>
      <c r="EM35" t="s">
        <v>47</v>
      </c>
      <c r="EQ35">
        <v>0</v>
      </c>
      <c r="ER35">
        <v>711.51</v>
      </c>
      <c r="ES35">
        <v>711.51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0</v>
      </c>
      <c r="FQ35">
        <v>0</v>
      </c>
      <c r="FR35">
        <f t="shared" si="27"/>
        <v>0</v>
      </c>
      <c r="FS35">
        <v>0</v>
      </c>
      <c r="FV35" t="s">
        <v>35</v>
      </c>
      <c r="FW35" t="s">
        <v>36</v>
      </c>
      <c r="FX35">
        <v>83</v>
      </c>
      <c r="FY35">
        <v>65</v>
      </c>
      <c r="GA35">
        <v>711.51</v>
      </c>
      <c r="GB35">
        <v>711.51</v>
      </c>
      <c r="GC35">
        <v>0</v>
      </c>
      <c r="GD35">
        <v>0</v>
      </c>
      <c r="GE35">
        <v>0</v>
      </c>
      <c r="GF35">
        <v>711.51</v>
      </c>
      <c r="GG35">
        <v>711.51</v>
      </c>
      <c r="GH35">
        <v>0</v>
      </c>
      <c r="GI35">
        <v>0</v>
      </c>
      <c r="GJ35">
        <v>0</v>
      </c>
      <c r="GK35">
        <v>0</v>
      </c>
      <c r="GL35">
        <v>0</v>
      </c>
    </row>
    <row r="36" spans="1:194" ht="12.75">
      <c r="A36">
        <v>18</v>
      </c>
      <c r="B36">
        <v>1</v>
      </c>
      <c r="C36">
        <v>25</v>
      </c>
      <c r="E36" t="s">
        <v>53</v>
      </c>
      <c r="F36" t="s">
        <v>54</v>
      </c>
      <c r="G36" t="s">
        <v>55</v>
      </c>
      <c r="H36" t="s">
        <v>51</v>
      </c>
      <c r="I36">
        <f>I34*J36</f>
        <v>-16.2</v>
      </c>
      <c r="J36">
        <v>-2</v>
      </c>
      <c r="O36">
        <f t="shared" si="4"/>
        <v>-51029.81</v>
      </c>
      <c r="P36">
        <f t="shared" si="5"/>
        <v>-51029.81</v>
      </c>
      <c r="Q36">
        <f t="shared" si="6"/>
        <v>0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V36">
        <f t="shared" si="11"/>
        <v>0</v>
      </c>
      <c r="W36">
        <f t="shared" si="12"/>
        <v>0</v>
      </c>
      <c r="X36">
        <f t="shared" si="13"/>
        <v>0</v>
      </c>
      <c r="Y36">
        <f t="shared" si="14"/>
        <v>0</v>
      </c>
      <c r="AA36">
        <v>0</v>
      </c>
      <c r="AB36">
        <f t="shared" si="15"/>
        <v>519.8</v>
      </c>
      <c r="AC36">
        <f t="shared" si="29"/>
        <v>519.8</v>
      </c>
      <c r="AD36">
        <f t="shared" si="29"/>
        <v>0</v>
      </c>
      <c r="AE36">
        <f t="shared" si="29"/>
        <v>0</v>
      </c>
      <c r="AF36">
        <f t="shared" si="29"/>
        <v>0</v>
      </c>
      <c r="AG36">
        <f t="shared" si="29"/>
        <v>0</v>
      </c>
      <c r="AH36">
        <f t="shared" si="29"/>
        <v>0</v>
      </c>
      <c r="AI36">
        <f t="shared" si="29"/>
        <v>0</v>
      </c>
      <c r="AJ36">
        <f t="shared" si="29"/>
        <v>0</v>
      </c>
      <c r="AK36">
        <v>519.8</v>
      </c>
      <c r="AL36">
        <v>519.8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71</v>
      </c>
      <c r="AU36">
        <v>52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6.06</v>
      </c>
      <c r="BH36">
        <v>3</v>
      </c>
      <c r="BI36">
        <v>1</v>
      </c>
      <c r="BJ36" t="s">
        <v>56</v>
      </c>
      <c r="BM36">
        <v>58001</v>
      </c>
      <c r="BN36">
        <v>0</v>
      </c>
      <c r="BO36" t="s">
        <v>54</v>
      </c>
      <c r="BP36">
        <v>1</v>
      </c>
      <c r="BQ36">
        <v>6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83</v>
      </c>
      <c r="CA36">
        <v>65</v>
      </c>
      <c r="CF36">
        <v>0</v>
      </c>
      <c r="CG36">
        <v>0</v>
      </c>
      <c r="CM36">
        <v>0</v>
      </c>
      <c r="CO36">
        <v>0</v>
      </c>
      <c r="CP36">
        <f t="shared" si="16"/>
        <v>-51029.81</v>
      </c>
      <c r="CQ36">
        <f t="shared" si="17"/>
        <v>3149.9879999999994</v>
      </c>
      <c r="CR36">
        <f t="shared" si="18"/>
        <v>0</v>
      </c>
      <c r="CS36">
        <f t="shared" si="19"/>
        <v>0</v>
      </c>
      <c r="CT36">
        <f t="shared" si="20"/>
        <v>0</v>
      </c>
      <c r="CU36">
        <f t="shared" si="21"/>
        <v>0</v>
      </c>
      <c r="CV36">
        <f t="shared" si="22"/>
        <v>0</v>
      </c>
      <c r="CW36">
        <f t="shared" si="23"/>
        <v>0</v>
      </c>
      <c r="CX36">
        <f t="shared" si="24"/>
        <v>0</v>
      </c>
      <c r="CY36">
        <f t="shared" si="25"/>
        <v>0</v>
      </c>
      <c r="CZ36">
        <f t="shared" si="26"/>
        <v>0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1007</v>
      </c>
      <c r="DV36" t="s">
        <v>51</v>
      </c>
      <c r="DW36" t="s">
        <v>51</v>
      </c>
      <c r="DX36">
        <v>1</v>
      </c>
      <c r="EE36">
        <v>20981309</v>
      </c>
      <c r="EF36">
        <v>6</v>
      </c>
      <c r="EG36" t="s">
        <v>45</v>
      </c>
      <c r="EH36">
        <v>0</v>
      </c>
      <c r="EJ36">
        <v>1</v>
      </c>
      <c r="EK36">
        <v>58001</v>
      </c>
      <c r="EL36" t="s">
        <v>46</v>
      </c>
      <c r="EM36" t="s">
        <v>47</v>
      </c>
      <c r="EQ36">
        <v>0</v>
      </c>
      <c r="ER36">
        <v>519.8</v>
      </c>
      <c r="ES36">
        <v>519.8</v>
      </c>
      <c r="ET36">
        <v>0</v>
      </c>
      <c r="EU36">
        <v>0</v>
      </c>
      <c r="EV36">
        <v>0</v>
      </c>
      <c r="EW36">
        <v>0</v>
      </c>
      <c r="EX36">
        <v>0</v>
      </c>
      <c r="EZ36">
        <v>0</v>
      </c>
      <c r="FQ36">
        <v>0</v>
      </c>
      <c r="FR36">
        <f t="shared" si="27"/>
        <v>0</v>
      </c>
      <c r="FS36">
        <v>0</v>
      </c>
      <c r="FV36" t="s">
        <v>35</v>
      </c>
      <c r="FW36" t="s">
        <v>36</v>
      </c>
      <c r="FX36">
        <v>83</v>
      </c>
      <c r="FY36">
        <v>65</v>
      </c>
      <c r="GA36">
        <v>519.8</v>
      </c>
      <c r="GB36">
        <v>519.8</v>
      </c>
      <c r="GC36">
        <v>0</v>
      </c>
      <c r="GD36">
        <v>0</v>
      </c>
      <c r="GE36">
        <v>0</v>
      </c>
      <c r="GF36">
        <v>519.8</v>
      </c>
      <c r="GG36">
        <v>519.8</v>
      </c>
      <c r="GH36">
        <v>0</v>
      </c>
      <c r="GI36">
        <v>0</v>
      </c>
      <c r="GJ36">
        <v>0</v>
      </c>
      <c r="GK36">
        <v>0</v>
      </c>
      <c r="GL36">
        <v>0</v>
      </c>
    </row>
    <row r="37" spans="1:194" ht="12.75">
      <c r="A37">
        <v>17</v>
      </c>
      <c r="B37">
        <v>1</v>
      </c>
      <c r="C37">
        <f>ROW(SmtRes!A29)</f>
        <v>29</v>
      </c>
      <c r="D37">
        <f>ROW(EtalonRes!A28)</f>
        <v>28</v>
      </c>
      <c r="E37" t="s">
        <v>57</v>
      </c>
      <c r="F37" t="s">
        <v>58</v>
      </c>
      <c r="G37" t="s">
        <v>59</v>
      </c>
      <c r="H37" t="s">
        <v>60</v>
      </c>
      <c r="I37">
        <v>1.5</v>
      </c>
      <c r="J37">
        <v>0</v>
      </c>
      <c r="O37">
        <f t="shared" si="4"/>
        <v>3641.89</v>
      </c>
      <c r="P37">
        <f t="shared" si="5"/>
        <v>0</v>
      </c>
      <c r="Q37">
        <f t="shared" si="6"/>
        <v>0</v>
      </c>
      <c r="R37">
        <f t="shared" si="7"/>
        <v>0</v>
      </c>
      <c r="S37">
        <f t="shared" si="8"/>
        <v>3641.89</v>
      </c>
      <c r="T37">
        <f t="shared" si="9"/>
        <v>0</v>
      </c>
      <c r="U37">
        <f t="shared" si="10"/>
        <v>31.200000000000003</v>
      </c>
      <c r="V37">
        <f t="shared" si="11"/>
        <v>0</v>
      </c>
      <c r="W37">
        <f t="shared" si="12"/>
        <v>0</v>
      </c>
      <c r="X37">
        <f t="shared" si="13"/>
        <v>2476.49</v>
      </c>
      <c r="Y37">
        <f t="shared" si="14"/>
        <v>1456.76</v>
      </c>
      <c r="AA37">
        <v>0</v>
      </c>
      <c r="AB37">
        <f t="shared" si="15"/>
        <v>132.24</v>
      </c>
      <c r="AC37">
        <f>(ES37)</f>
        <v>0</v>
      </c>
      <c r="AD37">
        <f>(ET37)</f>
        <v>0</v>
      </c>
      <c r="AE37">
        <f>(EU37)</f>
        <v>0</v>
      </c>
      <c r="AF37">
        <f>(EV37)</f>
        <v>132.24</v>
      </c>
      <c r="AG37">
        <f aca="true" t="shared" si="30" ref="AG37:AG49">(AP37)</f>
        <v>0</v>
      </c>
      <c r="AH37">
        <f aca="true" t="shared" si="31" ref="AH37:AH49">(EW37)</f>
        <v>20.8</v>
      </c>
      <c r="AI37">
        <f aca="true" t="shared" si="32" ref="AI37:AI49">(EX37)</f>
        <v>0</v>
      </c>
      <c r="AJ37">
        <f aca="true" t="shared" si="33" ref="AJ37:AJ49">(AS37)</f>
        <v>0</v>
      </c>
      <c r="AK37">
        <v>132.24</v>
      </c>
      <c r="AL37">
        <v>0</v>
      </c>
      <c r="AM37">
        <v>0</v>
      </c>
      <c r="AN37">
        <v>0</v>
      </c>
      <c r="AO37">
        <v>132.24</v>
      </c>
      <c r="AP37">
        <v>0</v>
      </c>
      <c r="AQ37">
        <v>20.8</v>
      </c>
      <c r="AR37">
        <v>0</v>
      </c>
      <c r="AS37">
        <v>0</v>
      </c>
      <c r="AT37">
        <v>68</v>
      </c>
      <c r="AU37">
        <v>40</v>
      </c>
      <c r="AV37">
        <v>1</v>
      </c>
      <c r="AW37">
        <v>1</v>
      </c>
      <c r="AX37">
        <v>1</v>
      </c>
      <c r="AY37">
        <v>1</v>
      </c>
      <c r="AZ37">
        <v>16.6</v>
      </c>
      <c r="BA37">
        <v>18.36</v>
      </c>
      <c r="BB37">
        <v>1</v>
      </c>
      <c r="BC37">
        <v>1</v>
      </c>
      <c r="BH37">
        <v>0</v>
      </c>
      <c r="BI37">
        <v>1</v>
      </c>
      <c r="BJ37" t="s">
        <v>61</v>
      </c>
      <c r="BM37">
        <v>62001</v>
      </c>
      <c r="BN37">
        <v>0</v>
      </c>
      <c r="BO37" t="s">
        <v>58</v>
      </c>
      <c r="BP37">
        <v>1</v>
      </c>
      <c r="BQ37">
        <v>6</v>
      </c>
      <c r="BR37">
        <v>0</v>
      </c>
      <c r="BS37">
        <v>18.36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80</v>
      </c>
      <c r="CA37">
        <v>50</v>
      </c>
      <c r="CF37">
        <v>0</v>
      </c>
      <c r="CG37">
        <v>0</v>
      </c>
      <c r="CM37">
        <v>0</v>
      </c>
      <c r="CO37">
        <v>0</v>
      </c>
      <c r="CP37">
        <f t="shared" si="16"/>
        <v>3641.89</v>
      </c>
      <c r="CQ37">
        <f t="shared" si="17"/>
        <v>0</v>
      </c>
      <c r="CR37">
        <f t="shared" si="18"/>
        <v>0</v>
      </c>
      <c r="CS37">
        <f t="shared" si="19"/>
        <v>0</v>
      </c>
      <c r="CT37">
        <f t="shared" si="20"/>
        <v>2427.9264000000003</v>
      </c>
      <c r="CU37">
        <f t="shared" si="21"/>
        <v>0</v>
      </c>
      <c r="CV37">
        <f t="shared" si="22"/>
        <v>20.8</v>
      </c>
      <c r="CW37">
        <f t="shared" si="23"/>
        <v>0</v>
      </c>
      <c r="CX37">
        <f t="shared" si="24"/>
        <v>0</v>
      </c>
      <c r="CY37">
        <f t="shared" si="25"/>
        <v>2476.4852</v>
      </c>
      <c r="CZ37">
        <f t="shared" si="26"/>
        <v>1456.756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1005</v>
      </c>
      <c r="DV37" t="s">
        <v>60</v>
      </c>
      <c r="DW37" t="s">
        <v>62</v>
      </c>
      <c r="DX37">
        <v>100</v>
      </c>
      <c r="EE37">
        <v>20981313</v>
      </c>
      <c r="EF37">
        <v>6</v>
      </c>
      <c r="EG37" t="s">
        <v>45</v>
      </c>
      <c r="EH37">
        <v>0</v>
      </c>
      <c r="EJ37">
        <v>1</v>
      </c>
      <c r="EK37">
        <v>62001</v>
      </c>
      <c r="EL37" t="s">
        <v>63</v>
      </c>
      <c r="EM37" t="s">
        <v>64</v>
      </c>
      <c r="EQ37">
        <v>64</v>
      </c>
      <c r="ER37">
        <v>132.24</v>
      </c>
      <c r="ES37">
        <v>0</v>
      </c>
      <c r="ET37">
        <v>0</v>
      </c>
      <c r="EU37">
        <v>0</v>
      </c>
      <c r="EV37">
        <v>132.24</v>
      </c>
      <c r="EW37">
        <v>20.8</v>
      </c>
      <c r="EX37">
        <v>0</v>
      </c>
      <c r="EY37">
        <v>0</v>
      </c>
      <c r="EZ37">
        <v>0</v>
      </c>
      <c r="FQ37">
        <v>0</v>
      </c>
      <c r="FR37">
        <f t="shared" si="27"/>
        <v>0</v>
      </c>
      <c r="FS37">
        <v>0</v>
      </c>
      <c r="FV37" t="s">
        <v>35</v>
      </c>
      <c r="FW37" t="s">
        <v>36</v>
      </c>
      <c r="FX37">
        <v>80</v>
      </c>
      <c r="FY37">
        <v>50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</row>
    <row r="38" spans="1:194" ht="12.75">
      <c r="A38">
        <v>17</v>
      </c>
      <c r="B38">
        <v>1</v>
      </c>
      <c r="C38">
        <f>ROW(SmtRes!A39)</f>
        <v>39</v>
      </c>
      <c r="D38">
        <f>ROW(EtalonRes!A37)</f>
        <v>37</v>
      </c>
      <c r="E38" t="s">
        <v>65</v>
      </c>
      <c r="F38" t="s">
        <v>66</v>
      </c>
      <c r="G38" t="s">
        <v>67</v>
      </c>
      <c r="H38" t="s">
        <v>68</v>
      </c>
      <c r="I38">
        <v>15.12</v>
      </c>
      <c r="J38">
        <v>0</v>
      </c>
      <c r="O38">
        <f t="shared" si="4"/>
        <v>68900.12</v>
      </c>
      <c r="P38">
        <f t="shared" si="5"/>
        <v>0</v>
      </c>
      <c r="Q38">
        <f t="shared" si="6"/>
        <v>10714.49</v>
      </c>
      <c r="R38">
        <f t="shared" si="7"/>
        <v>899.43</v>
      </c>
      <c r="S38">
        <f t="shared" si="8"/>
        <v>58185.63</v>
      </c>
      <c r="T38">
        <f t="shared" si="9"/>
        <v>0</v>
      </c>
      <c r="U38">
        <f t="shared" si="10"/>
        <v>394.632</v>
      </c>
      <c r="V38">
        <f t="shared" si="11"/>
        <v>3.6287999999999996</v>
      </c>
      <c r="W38">
        <f t="shared" si="12"/>
        <v>0</v>
      </c>
      <c r="X38">
        <f t="shared" si="13"/>
        <v>60266.76</v>
      </c>
      <c r="Y38">
        <f t="shared" si="14"/>
        <v>30724.23</v>
      </c>
      <c r="AA38">
        <v>0</v>
      </c>
      <c r="AB38">
        <f t="shared" si="15"/>
        <v>391.29999999999995</v>
      </c>
      <c r="AC38">
        <f>((ES38*0))</f>
        <v>0</v>
      </c>
      <c r="AD38">
        <f aca="true" t="shared" si="34" ref="AD38:AD49">(ET38)</f>
        <v>181.7</v>
      </c>
      <c r="AE38">
        <f aca="true" t="shared" si="35" ref="AE38:AE49">(EU38)</f>
        <v>3.24</v>
      </c>
      <c r="AF38">
        <f aca="true" t="shared" si="36" ref="AF38:AF49">(EV38)</f>
        <v>209.6</v>
      </c>
      <c r="AG38">
        <f t="shared" si="30"/>
        <v>0</v>
      </c>
      <c r="AH38">
        <f t="shared" si="31"/>
        <v>26.1</v>
      </c>
      <c r="AI38">
        <f t="shared" si="32"/>
        <v>0.24</v>
      </c>
      <c r="AJ38">
        <f t="shared" si="33"/>
        <v>0</v>
      </c>
      <c r="AK38">
        <v>2707.35</v>
      </c>
      <c r="AL38">
        <v>2316.05</v>
      </c>
      <c r="AM38">
        <v>181.7</v>
      </c>
      <c r="AN38">
        <v>3.24</v>
      </c>
      <c r="AO38">
        <v>209.6</v>
      </c>
      <c r="AP38">
        <v>0</v>
      </c>
      <c r="AQ38">
        <v>26.1</v>
      </c>
      <c r="AR38">
        <v>0.24</v>
      </c>
      <c r="AS38">
        <v>0</v>
      </c>
      <c r="AT38">
        <v>102</v>
      </c>
      <c r="AU38">
        <v>52</v>
      </c>
      <c r="AV38">
        <v>1</v>
      </c>
      <c r="AW38">
        <v>1</v>
      </c>
      <c r="AX38">
        <v>1</v>
      </c>
      <c r="AY38">
        <v>1</v>
      </c>
      <c r="AZ38">
        <v>8.22</v>
      </c>
      <c r="BA38">
        <v>18.36</v>
      </c>
      <c r="BB38">
        <v>3.9</v>
      </c>
      <c r="BC38">
        <v>6.14</v>
      </c>
      <c r="BH38">
        <v>0</v>
      </c>
      <c r="BI38">
        <v>1</v>
      </c>
      <c r="BJ38" t="s">
        <v>69</v>
      </c>
      <c r="BM38">
        <v>12001</v>
      </c>
      <c r="BN38">
        <v>0</v>
      </c>
      <c r="BO38" t="s">
        <v>66</v>
      </c>
      <c r="BP38">
        <v>1</v>
      </c>
      <c r="BQ38">
        <v>2</v>
      </c>
      <c r="BR38">
        <v>0</v>
      </c>
      <c r="BS38">
        <v>18.36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120</v>
      </c>
      <c r="CA38">
        <v>65</v>
      </c>
      <c r="CF38">
        <v>0</v>
      </c>
      <c r="CG38">
        <v>0</v>
      </c>
      <c r="CM38">
        <v>0</v>
      </c>
      <c r="CO38">
        <v>0</v>
      </c>
      <c r="CP38">
        <f t="shared" si="16"/>
        <v>68900.12</v>
      </c>
      <c r="CQ38">
        <f t="shared" si="17"/>
        <v>0</v>
      </c>
      <c r="CR38">
        <f t="shared" si="18"/>
        <v>708.63</v>
      </c>
      <c r="CS38">
        <f t="shared" si="19"/>
        <v>59.4864</v>
      </c>
      <c r="CT38">
        <f t="shared" si="20"/>
        <v>3848.256</v>
      </c>
      <c r="CU38">
        <f t="shared" si="21"/>
        <v>0</v>
      </c>
      <c r="CV38">
        <f t="shared" si="22"/>
        <v>26.1</v>
      </c>
      <c r="CW38">
        <f t="shared" si="23"/>
        <v>0.24</v>
      </c>
      <c r="CX38">
        <f t="shared" si="24"/>
        <v>0</v>
      </c>
      <c r="CY38">
        <f t="shared" si="25"/>
        <v>60266.7612</v>
      </c>
      <c r="CZ38">
        <f t="shared" si="26"/>
        <v>30724.2312</v>
      </c>
      <c r="DD38" t="s">
        <v>29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68</v>
      </c>
      <c r="DW38" t="s">
        <v>70</v>
      </c>
      <c r="DX38">
        <v>100</v>
      </c>
      <c r="EE38">
        <v>20981231</v>
      </c>
      <c r="EF38">
        <v>2</v>
      </c>
      <c r="EG38" t="s">
        <v>32</v>
      </c>
      <c r="EH38">
        <v>0</v>
      </c>
      <c r="EJ38">
        <v>1</v>
      </c>
      <c r="EK38">
        <v>12001</v>
      </c>
      <c r="EL38" t="s">
        <v>71</v>
      </c>
      <c r="EM38" t="s">
        <v>72</v>
      </c>
      <c r="EQ38">
        <v>64</v>
      </c>
      <c r="ER38">
        <v>2707.35</v>
      </c>
      <c r="ES38">
        <v>2316.05</v>
      </c>
      <c r="ET38">
        <v>181.7</v>
      </c>
      <c r="EU38">
        <v>3.24</v>
      </c>
      <c r="EV38">
        <v>209.6</v>
      </c>
      <c r="EW38">
        <v>26.1</v>
      </c>
      <c r="EX38">
        <v>0.24</v>
      </c>
      <c r="EY38">
        <v>0</v>
      </c>
      <c r="EZ38">
        <v>0</v>
      </c>
      <c r="FQ38">
        <v>0</v>
      </c>
      <c r="FR38">
        <f t="shared" si="27"/>
        <v>0</v>
      </c>
      <c r="FS38">
        <v>0</v>
      </c>
      <c r="FV38" t="s">
        <v>35</v>
      </c>
      <c r="FW38" t="s">
        <v>36</v>
      </c>
      <c r="FX38">
        <v>120</v>
      </c>
      <c r="FY38">
        <v>65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1</v>
      </c>
      <c r="GL38">
        <v>0</v>
      </c>
    </row>
    <row r="39" spans="1:194" ht="12.75">
      <c r="A39">
        <v>17</v>
      </c>
      <c r="B39">
        <v>1</v>
      </c>
      <c r="E39" t="s">
        <v>73</v>
      </c>
      <c r="F39" t="s">
        <v>74</v>
      </c>
      <c r="G39" t="s">
        <v>75</v>
      </c>
      <c r="H39" t="s">
        <v>76</v>
      </c>
      <c r="I39">
        <v>1512</v>
      </c>
      <c r="J39">
        <v>0</v>
      </c>
      <c r="O39">
        <f t="shared" si="4"/>
        <v>453569.76</v>
      </c>
      <c r="P39">
        <f t="shared" si="5"/>
        <v>453569.76</v>
      </c>
      <c r="Q39">
        <f t="shared" si="6"/>
        <v>0</v>
      </c>
      <c r="R39">
        <f t="shared" si="7"/>
        <v>0</v>
      </c>
      <c r="S39">
        <f t="shared" si="8"/>
        <v>0</v>
      </c>
      <c r="T39">
        <f t="shared" si="9"/>
        <v>0</v>
      </c>
      <c r="U39">
        <f t="shared" si="10"/>
        <v>0</v>
      </c>
      <c r="V39">
        <f t="shared" si="11"/>
        <v>0</v>
      </c>
      <c r="W39">
        <f t="shared" si="12"/>
        <v>0</v>
      </c>
      <c r="X39">
        <f t="shared" si="13"/>
        <v>0</v>
      </c>
      <c r="Y39">
        <f t="shared" si="14"/>
        <v>0</v>
      </c>
      <c r="AA39">
        <v>0</v>
      </c>
      <c r="AB39">
        <f t="shared" si="15"/>
        <v>299.98</v>
      </c>
      <c r="AC39">
        <f>(ES39)</f>
        <v>299.98</v>
      </c>
      <c r="AD39">
        <f t="shared" si="34"/>
        <v>0</v>
      </c>
      <c r="AE39">
        <f t="shared" si="35"/>
        <v>0</v>
      </c>
      <c r="AF39">
        <f t="shared" si="36"/>
        <v>0</v>
      </c>
      <c r="AG39">
        <f t="shared" si="30"/>
        <v>0</v>
      </c>
      <c r="AH39">
        <f t="shared" si="31"/>
        <v>0</v>
      </c>
      <c r="AI39">
        <f t="shared" si="32"/>
        <v>0</v>
      </c>
      <c r="AJ39">
        <f t="shared" si="33"/>
        <v>0</v>
      </c>
      <c r="AK39">
        <v>299.98</v>
      </c>
      <c r="AL39">
        <v>299.98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4</v>
      </c>
      <c r="BM39">
        <v>0</v>
      </c>
      <c r="BN39">
        <v>0</v>
      </c>
      <c r="BP39">
        <v>0</v>
      </c>
      <c r="BQ39">
        <v>1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16"/>
        <v>453569.76</v>
      </c>
      <c r="CQ39">
        <f t="shared" si="17"/>
        <v>299.98</v>
      </c>
      <c r="CR39">
        <f t="shared" si="18"/>
        <v>0</v>
      </c>
      <c r="CS39">
        <f t="shared" si="19"/>
        <v>0</v>
      </c>
      <c r="CT39">
        <f t="shared" si="20"/>
        <v>0</v>
      </c>
      <c r="CU39">
        <f t="shared" si="21"/>
        <v>0</v>
      </c>
      <c r="CV39">
        <f t="shared" si="22"/>
        <v>0</v>
      </c>
      <c r="CW39">
        <f t="shared" si="23"/>
        <v>0</v>
      </c>
      <c r="CX39">
        <f t="shared" si="24"/>
        <v>0</v>
      </c>
      <c r="CY39">
        <f t="shared" si="25"/>
        <v>0</v>
      </c>
      <c r="CZ39">
        <f t="shared" si="26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1009</v>
      </c>
      <c r="DV39" t="s">
        <v>76</v>
      </c>
      <c r="DW39" t="s">
        <v>76</v>
      </c>
      <c r="DX39">
        <v>1</v>
      </c>
      <c r="EE39">
        <v>20981170</v>
      </c>
      <c r="EF39">
        <v>1</v>
      </c>
      <c r="EG39" t="s">
        <v>77</v>
      </c>
      <c r="EH39">
        <v>0</v>
      </c>
      <c r="EJ39">
        <v>4</v>
      </c>
      <c r="EK39">
        <v>0</v>
      </c>
      <c r="EL39" t="s">
        <v>77</v>
      </c>
      <c r="EM39" t="s">
        <v>78</v>
      </c>
      <c r="EQ39">
        <v>0</v>
      </c>
      <c r="ER39">
        <v>0</v>
      </c>
      <c r="ES39">
        <v>299.98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Q39">
        <v>0</v>
      </c>
      <c r="FR39">
        <f t="shared" si="27"/>
        <v>0</v>
      </c>
      <c r="FS39">
        <v>0</v>
      </c>
      <c r="FV39" t="s">
        <v>35</v>
      </c>
      <c r="FW39" t="s">
        <v>36</v>
      </c>
      <c r="FX39">
        <v>0</v>
      </c>
      <c r="FY39">
        <v>0</v>
      </c>
      <c r="GA39">
        <v>299.98</v>
      </c>
      <c r="GB39">
        <v>299.98</v>
      </c>
      <c r="GC39">
        <v>0</v>
      </c>
      <c r="GD39">
        <v>0</v>
      </c>
      <c r="GE39">
        <v>0</v>
      </c>
      <c r="GF39">
        <v>299.98</v>
      </c>
      <c r="GG39">
        <v>299.98</v>
      </c>
      <c r="GH39">
        <v>0</v>
      </c>
      <c r="GI39">
        <v>0</v>
      </c>
      <c r="GJ39">
        <v>0</v>
      </c>
      <c r="GK39">
        <v>1</v>
      </c>
      <c r="GL39">
        <v>0</v>
      </c>
    </row>
    <row r="40" spans="1:194" ht="12.75">
      <c r="A40">
        <v>17</v>
      </c>
      <c r="B40">
        <v>1</v>
      </c>
      <c r="C40">
        <f>ROW(SmtRes!A48)</f>
        <v>48</v>
      </c>
      <c r="D40">
        <f>ROW(EtalonRes!A46)</f>
        <v>46</v>
      </c>
      <c r="E40" t="s">
        <v>79</v>
      </c>
      <c r="F40" t="s">
        <v>80</v>
      </c>
      <c r="G40" t="s">
        <v>81</v>
      </c>
      <c r="H40" t="s">
        <v>60</v>
      </c>
      <c r="I40">
        <v>20.95</v>
      </c>
      <c r="J40">
        <v>0</v>
      </c>
      <c r="O40">
        <f t="shared" si="4"/>
        <v>93473.68</v>
      </c>
      <c r="P40">
        <f t="shared" si="5"/>
        <v>28373.54</v>
      </c>
      <c r="Q40">
        <f t="shared" si="6"/>
        <v>7403.84</v>
      </c>
      <c r="R40">
        <f t="shared" si="7"/>
        <v>1611.65</v>
      </c>
      <c r="S40">
        <f t="shared" si="8"/>
        <v>57696.3</v>
      </c>
      <c r="T40">
        <f t="shared" si="9"/>
        <v>0</v>
      </c>
      <c r="U40">
        <f t="shared" si="10"/>
        <v>468.02299999999997</v>
      </c>
      <c r="V40">
        <f t="shared" si="11"/>
        <v>6.4944999999999995</v>
      </c>
      <c r="W40">
        <f t="shared" si="12"/>
        <v>0</v>
      </c>
      <c r="X40">
        <f t="shared" si="13"/>
        <v>60494.11</v>
      </c>
      <c r="Y40">
        <f t="shared" si="14"/>
        <v>30840.13</v>
      </c>
      <c r="AA40">
        <v>0</v>
      </c>
      <c r="AB40">
        <f t="shared" si="15"/>
        <v>484.28000000000003</v>
      </c>
      <c r="AC40">
        <f>(ES40)</f>
        <v>269.79</v>
      </c>
      <c r="AD40">
        <f t="shared" si="34"/>
        <v>64.49</v>
      </c>
      <c r="AE40">
        <f t="shared" si="35"/>
        <v>4.19</v>
      </c>
      <c r="AF40">
        <f t="shared" si="36"/>
        <v>150</v>
      </c>
      <c r="AG40">
        <f t="shared" si="30"/>
        <v>0</v>
      </c>
      <c r="AH40">
        <f t="shared" si="31"/>
        <v>22.34</v>
      </c>
      <c r="AI40">
        <f t="shared" si="32"/>
        <v>0.31</v>
      </c>
      <c r="AJ40">
        <f t="shared" si="33"/>
        <v>0</v>
      </c>
      <c r="AK40">
        <v>484.28000000000003</v>
      </c>
      <c r="AL40">
        <v>269.79</v>
      </c>
      <c r="AM40">
        <v>64.49</v>
      </c>
      <c r="AN40">
        <v>4.19</v>
      </c>
      <c r="AO40">
        <v>150</v>
      </c>
      <c r="AP40">
        <v>0</v>
      </c>
      <c r="AQ40">
        <v>22.34</v>
      </c>
      <c r="AR40">
        <v>0.31</v>
      </c>
      <c r="AS40">
        <v>0</v>
      </c>
      <c r="AT40">
        <v>102</v>
      </c>
      <c r="AU40">
        <v>52</v>
      </c>
      <c r="AV40">
        <v>1</v>
      </c>
      <c r="AW40">
        <v>1</v>
      </c>
      <c r="AX40">
        <v>1</v>
      </c>
      <c r="AY40">
        <v>1</v>
      </c>
      <c r="AZ40">
        <v>12.35</v>
      </c>
      <c r="BA40">
        <v>18.36</v>
      </c>
      <c r="BB40">
        <v>5.48</v>
      </c>
      <c r="BC40">
        <v>5.02</v>
      </c>
      <c r="BH40">
        <v>0</v>
      </c>
      <c r="BI40">
        <v>1</v>
      </c>
      <c r="BJ40" t="s">
        <v>82</v>
      </c>
      <c r="BM40">
        <v>12001</v>
      </c>
      <c r="BN40">
        <v>0</v>
      </c>
      <c r="BO40" t="s">
        <v>80</v>
      </c>
      <c r="BP40">
        <v>1</v>
      </c>
      <c r="BQ40">
        <v>2</v>
      </c>
      <c r="BR40">
        <v>0</v>
      </c>
      <c r="BS40">
        <v>18.36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120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t="shared" si="16"/>
        <v>93473.68000000001</v>
      </c>
      <c r="CQ40">
        <f t="shared" si="17"/>
        <v>1354.3458</v>
      </c>
      <c r="CR40">
        <f t="shared" si="18"/>
        <v>353.4052</v>
      </c>
      <c r="CS40">
        <f t="shared" si="19"/>
        <v>76.92840000000001</v>
      </c>
      <c r="CT40">
        <f t="shared" si="20"/>
        <v>2754</v>
      </c>
      <c r="CU40">
        <f t="shared" si="21"/>
        <v>0</v>
      </c>
      <c r="CV40">
        <f t="shared" si="22"/>
        <v>22.34</v>
      </c>
      <c r="CW40">
        <f t="shared" si="23"/>
        <v>0.31</v>
      </c>
      <c r="CX40">
        <f t="shared" si="24"/>
        <v>0</v>
      </c>
      <c r="CY40">
        <f t="shared" si="25"/>
        <v>60494.109000000004</v>
      </c>
      <c r="CZ40">
        <f t="shared" si="26"/>
        <v>30840.134000000002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1005</v>
      </c>
      <c r="DV40" t="s">
        <v>60</v>
      </c>
      <c r="DW40" t="s">
        <v>83</v>
      </c>
      <c r="DX40">
        <v>100</v>
      </c>
      <c r="EE40">
        <v>20981231</v>
      </c>
      <c r="EF40">
        <v>2</v>
      </c>
      <c r="EG40" t="s">
        <v>32</v>
      </c>
      <c r="EH40">
        <v>0</v>
      </c>
      <c r="EJ40">
        <v>1</v>
      </c>
      <c r="EK40">
        <v>12001</v>
      </c>
      <c r="EL40" t="s">
        <v>71</v>
      </c>
      <c r="EM40" t="s">
        <v>72</v>
      </c>
      <c r="EQ40">
        <v>64</v>
      </c>
      <c r="ER40">
        <v>484.28000000000003</v>
      </c>
      <c r="ES40">
        <v>269.79</v>
      </c>
      <c r="ET40">
        <v>64.49</v>
      </c>
      <c r="EU40">
        <v>4.19</v>
      </c>
      <c r="EV40">
        <v>150</v>
      </c>
      <c r="EW40">
        <v>22.34</v>
      </c>
      <c r="EX40">
        <v>0.31</v>
      </c>
      <c r="EY40">
        <v>0</v>
      </c>
      <c r="EZ40">
        <v>0</v>
      </c>
      <c r="FQ40">
        <v>0</v>
      </c>
      <c r="FR40">
        <f t="shared" si="27"/>
        <v>0</v>
      </c>
      <c r="FS40">
        <v>0</v>
      </c>
      <c r="FV40" t="s">
        <v>35</v>
      </c>
      <c r="FW40" t="s">
        <v>36</v>
      </c>
      <c r="FX40">
        <v>120</v>
      </c>
      <c r="FY40">
        <v>65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</row>
    <row r="41" spans="1:194" ht="12.75">
      <c r="A41">
        <v>17</v>
      </c>
      <c r="B41">
        <v>1</v>
      </c>
      <c r="E41" t="s">
        <v>84</v>
      </c>
      <c r="F41" t="s">
        <v>74</v>
      </c>
      <c r="G41" t="s">
        <v>75</v>
      </c>
      <c r="H41" t="s">
        <v>76</v>
      </c>
      <c r="I41">
        <v>6494.5</v>
      </c>
      <c r="J41">
        <v>0</v>
      </c>
      <c r="O41">
        <f t="shared" si="4"/>
        <v>1948220.11</v>
      </c>
      <c r="P41">
        <f t="shared" si="5"/>
        <v>1948220.11</v>
      </c>
      <c r="Q41">
        <f t="shared" si="6"/>
        <v>0</v>
      </c>
      <c r="R41">
        <f t="shared" si="7"/>
        <v>0</v>
      </c>
      <c r="S41">
        <f t="shared" si="8"/>
        <v>0</v>
      </c>
      <c r="T41">
        <f t="shared" si="9"/>
        <v>0</v>
      </c>
      <c r="U41">
        <f t="shared" si="10"/>
        <v>0</v>
      </c>
      <c r="V41">
        <f t="shared" si="11"/>
        <v>0</v>
      </c>
      <c r="W41">
        <f t="shared" si="12"/>
        <v>0</v>
      </c>
      <c r="X41">
        <f t="shared" si="13"/>
        <v>0</v>
      </c>
      <c r="Y41">
        <f t="shared" si="14"/>
        <v>0</v>
      </c>
      <c r="AA41">
        <v>0</v>
      </c>
      <c r="AB41">
        <f t="shared" si="15"/>
        <v>299.98</v>
      </c>
      <c r="AC41">
        <f>(ES41)</f>
        <v>299.98</v>
      </c>
      <c r="AD41">
        <f t="shared" si="34"/>
        <v>0</v>
      </c>
      <c r="AE41">
        <f t="shared" si="35"/>
        <v>0</v>
      </c>
      <c r="AF41">
        <f t="shared" si="36"/>
        <v>0</v>
      </c>
      <c r="AG41">
        <f t="shared" si="30"/>
        <v>0</v>
      </c>
      <c r="AH41">
        <f t="shared" si="31"/>
        <v>0</v>
      </c>
      <c r="AI41">
        <f t="shared" si="32"/>
        <v>0</v>
      </c>
      <c r="AJ41">
        <f t="shared" si="33"/>
        <v>0</v>
      </c>
      <c r="AK41">
        <v>299.98</v>
      </c>
      <c r="AL41">
        <v>299.98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4</v>
      </c>
      <c r="BM41">
        <v>0</v>
      </c>
      <c r="BN41">
        <v>0</v>
      </c>
      <c r="BP41">
        <v>0</v>
      </c>
      <c r="BQ41">
        <v>1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16"/>
        <v>1948220.11</v>
      </c>
      <c r="CQ41">
        <f t="shared" si="17"/>
        <v>299.98</v>
      </c>
      <c r="CR41">
        <f t="shared" si="18"/>
        <v>0</v>
      </c>
      <c r="CS41">
        <f t="shared" si="19"/>
        <v>0</v>
      </c>
      <c r="CT41">
        <f t="shared" si="20"/>
        <v>0</v>
      </c>
      <c r="CU41">
        <f t="shared" si="21"/>
        <v>0</v>
      </c>
      <c r="CV41">
        <f t="shared" si="22"/>
        <v>0</v>
      </c>
      <c r="CW41">
        <f t="shared" si="23"/>
        <v>0</v>
      </c>
      <c r="CX41">
        <f t="shared" si="24"/>
        <v>0</v>
      </c>
      <c r="CY41">
        <f t="shared" si="25"/>
        <v>0</v>
      </c>
      <c r="CZ41">
        <f t="shared" si="26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1009</v>
      </c>
      <c r="DV41" t="s">
        <v>76</v>
      </c>
      <c r="DW41" t="s">
        <v>76</v>
      </c>
      <c r="DX41">
        <v>1</v>
      </c>
      <c r="EE41">
        <v>20981170</v>
      </c>
      <c r="EF41">
        <v>1</v>
      </c>
      <c r="EG41" t="s">
        <v>77</v>
      </c>
      <c r="EH41">
        <v>0</v>
      </c>
      <c r="EJ41">
        <v>4</v>
      </c>
      <c r="EK41">
        <v>0</v>
      </c>
      <c r="EL41" t="s">
        <v>77</v>
      </c>
      <c r="EM41" t="s">
        <v>78</v>
      </c>
      <c r="EQ41">
        <v>0</v>
      </c>
      <c r="ER41">
        <v>0</v>
      </c>
      <c r="ES41">
        <v>299.98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Q41">
        <v>0</v>
      </c>
      <c r="FR41">
        <f t="shared" si="27"/>
        <v>0</v>
      </c>
      <c r="FS41">
        <v>0</v>
      </c>
      <c r="FV41" t="s">
        <v>35</v>
      </c>
      <c r="FW41" t="s">
        <v>36</v>
      </c>
      <c r="FX41">
        <v>0</v>
      </c>
      <c r="FY41">
        <v>0</v>
      </c>
      <c r="GA41">
        <v>299.98</v>
      </c>
      <c r="GB41">
        <v>299.98</v>
      </c>
      <c r="GC41">
        <v>0</v>
      </c>
      <c r="GD41">
        <v>0</v>
      </c>
      <c r="GE41">
        <v>0</v>
      </c>
      <c r="GF41">
        <v>299.98</v>
      </c>
      <c r="GG41">
        <v>299.98</v>
      </c>
      <c r="GH41">
        <v>0</v>
      </c>
      <c r="GI41">
        <v>0</v>
      </c>
      <c r="GJ41">
        <v>0</v>
      </c>
      <c r="GK41">
        <v>1</v>
      </c>
      <c r="GL41">
        <v>0</v>
      </c>
    </row>
    <row r="42" spans="1:194" ht="12.75">
      <c r="A42">
        <v>17</v>
      </c>
      <c r="B42">
        <v>1</v>
      </c>
      <c r="C42">
        <f>ROW(SmtRes!A56)</f>
        <v>56</v>
      </c>
      <c r="D42">
        <f>ROW(EtalonRes!A54)</f>
        <v>54</v>
      </c>
      <c r="E42" t="s">
        <v>85</v>
      </c>
      <c r="F42" t="s">
        <v>86</v>
      </c>
      <c r="G42" t="s">
        <v>87</v>
      </c>
      <c r="H42" t="s">
        <v>60</v>
      </c>
      <c r="I42">
        <v>20.95</v>
      </c>
      <c r="J42">
        <v>0</v>
      </c>
      <c r="O42">
        <f t="shared" si="4"/>
        <v>29645.71</v>
      </c>
      <c r="P42">
        <f t="shared" si="5"/>
        <v>0</v>
      </c>
      <c r="Q42">
        <f t="shared" si="6"/>
        <v>3290.04</v>
      </c>
      <c r="R42">
        <f t="shared" si="7"/>
        <v>676.97</v>
      </c>
      <c r="S42">
        <f t="shared" si="8"/>
        <v>26355.67</v>
      </c>
      <c r="T42">
        <f t="shared" si="9"/>
        <v>0</v>
      </c>
      <c r="U42">
        <f t="shared" si="10"/>
        <v>164.248</v>
      </c>
      <c r="V42">
        <f t="shared" si="11"/>
        <v>2.7235</v>
      </c>
      <c r="W42">
        <f t="shared" si="12"/>
        <v>0</v>
      </c>
      <c r="X42">
        <f t="shared" si="13"/>
        <v>27573.29</v>
      </c>
      <c r="Y42">
        <f t="shared" si="14"/>
        <v>14056.97</v>
      </c>
      <c r="AA42">
        <v>0</v>
      </c>
      <c r="AB42">
        <f t="shared" si="15"/>
        <v>100.31</v>
      </c>
      <c r="AC42">
        <f>((ES42*0))</f>
        <v>0</v>
      </c>
      <c r="AD42">
        <f t="shared" si="34"/>
        <v>31.79</v>
      </c>
      <c r="AE42">
        <f t="shared" si="35"/>
        <v>1.76</v>
      </c>
      <c r="AF42">
        <f t="shared" si="36"/>
        <v>68.52</v>
      </c>
      <c r="AG42">
        <f t="shared" si="30"/>
        <v>0</v>
      </c>
      <c r="AH42">
        <f t="shared" si="31"/>
        <v>7.84</v>
      </c>
      <c r="AI42">
        <f t="shared" si="32"/>
        <v>0.13</v>
      </c>
      <c r="AJ42">
        <f t="shared" si="33"/>
        <v>0</v>
      </c>
      <c r="AK42">
        <v>950.71</v>
      </c>
      <c r="AL42">
        <v>850.4</v>
      </c>
      <c r="AM42">
        <v>31.79</v>
      </c>
      <c r="AN42">
        <v>1.76</v>
      </c>
      <c r="AO42">
        <v>68.52</v>
      </c>
      <c r="AP42">
        <v>0</v>
      </c>
      <c r="AQ42">
        <v>7.84</v>
      </c>
      <c r="AR42">
        <v>0.13</v>
      </c>
      <c r="AS42">
        <v>0</v>
      </c>
      <c r="AT42">
        <v>102</v>
      </c>
      <c r="AU42">
        <v>52</v>
      </c>
      <c r="AV42">
        <v>1</v>
      </c>
      <c r="AW42">
        <v>1</v>
      </c>
      <c r="AX42">
        <v>1</v>
      </c>
      <c r="AY42">
        <v>1</v>
      </c>
      <c r="AZ42">
        <v>6.14</v>
      </c>
      <c r="BA42">
        <v>18.36</v>
      </c>
      <c r="BB42">
        <v>4.94</v>
      </c>
      <c r="BC42">
        <v>3.81</v>
      </c>
      <c r="BH42">
        <v>0</v>
      </c>
      <c r="BI42">
        <v>1</v>
      </c>
      <c r="BJ42" t="s">
        <v>88</v>
      </c>
      <c r="BM42">
        <v>12001</v>
      </c>
      <c r="BN42">
        <v>0</v>
      </c>
      <c r="BO42" t="s">
        <v>86</v>
      </c>
      <c r="BP42">
        <v>1</v>
      </c>
      <c r="BQ42">
        <v>2</v>
      </c>
      <c r="BR42">
        <v>0</v>
      </c>
      <c r="BS42">
        <v>18.36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120</v>
      </c>
      <c r="CA42">
        <v>65</v>
      </c>
      <c r="CF42">
        <v>0</v>
      </c>
      <c r="CG42">
        <v>0</v>
      </c>
      <c r="CM42">
        <v>0</v>
      </c>
      <c r="CO42">
        <v>0</v>
      </c>
      <c r="CP42">
        <f t="shared" si="16"/>
        <v>29645.71</v>
      </c>
      <c r="CQ42">
        <f t="shared" si="17"/>
        <v>0</v>
      </c>
      <c r="CR42">
        <f t="shared" si="18"/>
        <v>157.04260000000002</v>
      </c>
      <c r="CS42">
        <f t="shared" si="19"/>
        <v>32.3136</v>
      </c>
      <c r="CT42">
        <f t="shared" si="20"/>
        <v>1258.0272</v>
      </c>
      <c r="CU42">
        <f t="shared" si="21"/>
        <v>0</v>
      </c>
      <c r="CV42">
        <f t="shared" si="22"/>
        <v>7.84</v>
      </c>
      <c r="CW42">
        <f t="shared" si="23"/>
        <v>0.13</v>
      </c>
      <c r="CX42">
        <f t="shared" si="24"/>
        <v>0</v>
      </c>
      <c r="CY42">
        <f t="shared" si="25"/>
        <v>27573.2928</v>
      </c>
      <c r="CZ42">
        <f t="shared" si="26"/>
        <v>14056.9728</v>
      </c>
      <c r="DD42" t="s">
        <v>29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1005</v>
      </c>
      <c r="DV42" t="s">
        <v>60</v>
      </c>
      <c r="DW42" t="s">
        <v>89</v>
      </c>
      <c r="DX42">
        <v>100</v>
      </c>
      <c r="EE42">
        <v>20981231</v>
      </c>
      <c r="EF42">
        <v>2</v>
      </c>
      <c r="EG42" t="s">
        <v>32</v>
      </c>
      <c r="EH42">
        <v>0</v>
      </c>
      <c r="EJ42">
        <v>1</v>
      </c>
      <c r="EK42">
        <v>12001</v>
      </c>
      <c r="EL42" t="s">
        <v>71</v>
      </c>
      <c r="EM42" t="s">
        <v>72</v>
      </c>
      <c r="EQ42">
        <v>0</v>
      </c>
      <c r="ER42">
        <v>950.71</v>
      </c>
      <c r="ES42">
        <v>850.4</v>
      </c>
      <c r="ET42">
        <v>31.79</v>
      </c>
      <c r="EU42">
        <v>1.76</v>
      </c>
      <c r="EV42">
        <v>68.52</v>
      </c>
      <c r="EW42">
        <v>7.84</v>
      </c>
      <c r="EX42">
        <v>0.13</v>
      </c>
      <c r="EY42">
        <v>0</v>
      </c>
      <c r="EZ42">
        <v>0</v>
      </c>
      <c r="FQ42">
        <v>0</v>
      </c>
      <c r="FR42">
        <f t="shared" si="27"/>
        <v>0</v>
      </c>
      <c r="FS42">
        <v>0</v>
      </c>
      <c r="FV42" t="s">
        <v>35</v>
      </c>
      <c r="FW42" t="s">
        <v>36</v>
      </c>
      <c r="FX42">
        <v>120</v>
      </c>
      <c r="FY42">
        <v>65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</row>
    <row r="43" spans="1:194" ht="12.75">
      <c r="A43">
        <v>17</v>
      </c>
      <c r="B43">
        <v>1</v>
      </c>
      <c r="E43" t="s">
        <v>90</v>
      </c>
      <c r="F43" t="s">
        <v>91</v>
      </c>
      <c r="G43" t="s">
        <v>92</v>
      </c>
      <c r="H43" t="s">
        <v>93</v>
      </c>
      <c r="I43">
        <v>209.5</v>
      </c>
      <c r="J43">
        <v>0</v>
      </c>
      <c r="O43">
        <f t="shared" si="4"/>
        <v>324741.76</v>
      </c>
      <c r="P43">
        <f t="shared" si="5"/>
        <v>324741.76</v>
      </c>
      <c r="Q43">
        <f t="shared" si="6"/>
        <v>0</v>
      </c>
      <c r="R43">
        <f t="shared" si="7"/>
        <v>0</v>
      </c>
      <c r="S43">
        <f t="shared" si="8"/>
        <v>0</v>
      </c>
      <c r="T43">
        <f t="shared" si="9"/>
        <v>0</v>
      </c>
      <c r="U43">
        <f t="shared" si="10"/>
        <v>0</v>
      </c>
      <c r="V43">
        <f t="shared" si="11"/>
        <v>0</v>
      </c>
      <c r="W43">
        <f t="shared" si="12"/>
        <v>0</v>
      </c>
      <c r="X43">
        <f t="shared" si="13"/>
        <v>0</v>
      </c>
      <c r="Y43">
        <f t="shared" si="14"/>
        <v>0</v>
      </c>
      <c r="AA43">
        <v>0</v>
      </c>
      <c r="AB43">
        <f t="shared" si="15"/>
        <v>1550.08</v>
      </c>
      <c r="AC43">
        <f>(ES43)</f>
        <v>1550.08</v>
      </c>
      <c r="AD43">
        <f t="shared" si="34"/>
        <v>0</v>
      </c>
      <c r="AE43">
        <f t="shared" si="35"/>
        <v>0</v>
      </c>
      <c r="AF43">
        <f t="shared" si="36"/>
        <v>0</v>
      </c>
      <c r="AG43">
        <f t="shared" si="30"/>
        <v>0</v>
      </c>
      <c r="AH43">
        <f t="shared" si="31"/>
        <v>0</v>
      </c>
      <c r="AI43">
        <f t="shared" si="32"/>
        <v>0</v>
      </c>
      <c r="AJ43">
        <f t="shared" si="33"/>
        <v>0</v>
      </c>
      <c r="AK43">
        <v>1550.08</v>
      </c>
      <c r="AL43">
        <v>1550.08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H43">
        <v>3</v>
      </c>
      <c r="BI43">
        <v>4</v>
      </c>
      <c r="BM43">
        <v>0</v>
      </c>
      <c r="BN43">
        <v>0</v>
      </c>
      <c r="BP43">
        <v>0</v>
      </c>
      <c r="BQ43">
        <v>1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0</v>
      </c>
      <c r="CA43">
        <v>0</v>
      </c>
      <c r="CF43">
        <v>0</v>
      </c>
      <c r="CG43">
        <v>0</v>
      </c>
      <c r="CM43">
        <v>0</v>
      </c>
      <c r="CO43">
        <v>0</v>
      </c>
      <c r="CP43">
        <f t="shared" si="16"/>
        <v>324741.76</v>
      </c>
      <c r="CQ43">
        <f t="shared" si="17"/>
        <v>1550.08</v>
      </c>
      <c r="CR43">
        <f t="shared" si="18"/>
        <v>0</v>
      </c>
      <c r="CS43">
        <f t="shared" si="19"/>
        <v>0</v>
      </c>
      <c r="CT43">
        <f t="shared" si="20"/>
        <v>0</v>
      </c>
      <c r="CU43">
        <f t="shared" si="21"/>
        <v>0</v>
      </c>
      <c r="CV43">
        <f t="shared" si="22"/>
        <v>0</v>
      </c>
      <c r="CW43">
        <f t="shared" si="23"/>
        <v>0</v>
      </c>
      <c r="CX43">
        <f t="shared" si="24"/>
        <v>0</v>
      </c>
      <c r="CY43">
        <f t="shared" si="25"/>
        <v>0</v>
      </c>
      <c r="CZ43">
        <f t="shared" si="26"/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1013</v>
      </c>
      <c r="DV43" t="s">
        <v>93</v>
      </c>
      <c r="DW43" t="s">
        <v>93</v>
      </c>
      <c r="DX43">
        <v>1</v>
      </c>
      <c r="EE43">
        <v>20981170</v>
      </c>
      <c r="EF43">
        <v>1</v>
      </c>
      <c r="EG43" t="s">
        <v>77</v>
      </c>
      <c r="EH43">
        <v>0</v>
      </c>
      <c r="EJ43">
        <v>4</v>
      </c>
      <c r="EK43">
        <v>0</v>
      </c>
      <c r="EL43" t="s">
        <v>77</v>
      </c>
      <c r="EM43" t="s">
        <v>78</v>
      </c>
      <c r="EQ43">
        <v>0</v>
      </c>
      <c r="ER43">
        <v>0</v>
      </c>
      <c r="ES43">
        <v>1550.08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Q43">
        <v>0</v>
      </c>
      <c r="FR43">
        <f t="shared" si="27"/>
        <v>0</v>
      </c>
      <c r="FS43">
        <v>0</v>
      </c>
      <c r="FV43" t="s">
        <v>35</v>
      </c>
      <c r="FW43" t="s">
        <v>36</v>
      </c>
      <c r="FX43">
        <v>0</v>
      </c>
      <c r="FY43">
        <v>0</v>
      </c>
      <c r="GA43">
        <v>1550.08</v>
      </c>
      <c r="GB43">
        <v>1550.08</v>
      </c>
      <c r="GC43">
        <v>0</v>
      </c>
      <c r="GD43">
        <v>0</v>
      </c>
      <c r="GE43">
        <v>0</v>
      </c>
      <c r="GF43">
        <v>1550.08</v>
      </c>
      <c r="GG43">
        <v>1550.08</v>
      </c>
      <c r="GH43">
        <v>0</v>
      </c>
      <c r="GI43">
        <v>0</v>
      </c>
      <c r="GJ43">
        <v>0</v>
      </c>
      <c r="GK43">
        <v>1</v>
      </c>
      <c r="GL43">
        <v>0</v>
      </c>
    </row>
    <row r="44" spans="1:194" ht="12.75">
      <c r="A44">
        <v>17</v>
      </c>
      <c r="B44">
        <v>1</v>
      </c>
      <c r="C44">
        <f>ROW(SmtRes!A58)</f>
        <v>58</v>
      </c>
      <c r="D44">
        <f>ROW(EtalonRes!A56)</f>
        <v>56</v>
      </c>
      <c r="E44" t="s">
        <v>94</v>
      </c>
      <c r="F44" t="s">
        <v>58</v>
      </c>
      <c r="G44" t="s">
        <v>59</v>
      </c>
      <c r="H44" t="s">
        <v>60</v>
      </c>
      <c r="I44">
        <v>69.63</v>
      </c>
      <c r="J44">
        <v>0</v>
      </c>
      <c r="O44">
        <f t="shared" si="4"/>
        <v>169056.52</v>
      </c>
      <c r="P44">
        <f t="shared" si="5"/>
        <v>0</v>
      </c>
      <c r="Q44">
        <f t="shared" si="6"/>
        <v>0</v>
      </c>
      <c r="R44">
        <f t="shared" si="7"/>
        <v>0</v>
      </c>
      <c r="S44">
        <f t="shared" si="8"/>
        <v>169056.52</v>
      </c>
      <c r="T44">
        <f t="shared" si="9"/>
        <v>0</v>
      </c>
      <c r="U44">
        <f t="shared" si="10"/>
        <v>1448.3039999999999</v>
      </c>
      <c r="V44">
        <f t="shared" si="11"/>
        <v>0</v>
      </c>
      <c r="W44">
        <f t="shared" si="12"/>
        <v>0</v>
      </c>
      <c r="X44">
        <f t="shared" si="13"/>
        <v>114958.43</v>
      </c>
      <c r="Y44">
        <f t="shared" si="14"/>
        <v>67622.61</v>
      </c>
      <c r="AA44">
        <v>0</v>
      </c>
      <c r="AB44">
        <f t="shared" si="15"/>
        <v>132.24</v>
      </c>
      <c r="AC44">
        <f>(ES44)</f>
        <v>0</v>
      </c>
      <c r="AD44">
        <f t="shared" si="34"/>
        <v>0</v>
      </c>
      <c r="AE44">
        <f t="shared" si="35"/>
        <v>0</v>
      </c>
      <c r="AF44">
        <f t="shared" si="36"/>
        <v>132.24</v>
      </c>
      <c r="AG44">
        <f t="shared" si="30"/>
        <v>0</v>
      </c>
      <c r="AH44">
        <f t="shared" si="31"/>
        <v>20.8</v>
      </c>
      <c r="AI44">
        <f t="shared" si="32"/>
        <v>0</v>
      </c>
      <c r="AJ44">
        <f t="shared" si="33"/>
        <v>0</v>
      </c>
      <c r="AK44">
        <v>132.24</v>
      </c>
      <c r="AL44">
        <v>0</v>
      </c>
      <c r="AM44">
        <v>0</v>
      </c>
      <c r="AN44">
        <v>0</v>
      </c>
      <c r="AO44">
        <v>132.24</v>
      </c>
      <c r="AP44">
        <v>0</v>
      </c>
      <c r="AQ44">
        <v>20.8</v>
      </c>
      <c r="AR44">
        <v>0</v>
      </c>
      <c r="AS44">
        <v>0</v>
      </c>
      <c r="AT44">
        <v>68</v>
      </c>
      <c r="AU44">
        <v>40</v>
      </c>
      <c r="AV44">
        <v>1</v>
      </c>
      <c r="AW44">
        <v>1</v>
      </c>
      <c r="AX44">
        <v>1</v>
      </c>
      <c r="AY44">
        <v>1</v>
      </c>
      <c r="AZ44">
        <v>16.6</v>
      </c>
      <c r="BA44">
        <v>18.36</v>
      </c>
      <c r="BB44">
        <v>1</v>
      </c>
      <c r="BC44">
        <v>1</v>
      </c>
      <c r="BH44">
        <v>0</v>
      </c>
      <c r="BI44">
        <v>1</v>
      </c>
      <c r="BJ44" t="s">
        <v>61</v>
      </c>
      <c r="BM44">
        <v>62001</v>
      </c>
      <c r="BN44">
        <v>0</v>
      </c>
      <c r="BO44" t="s">
        <v>58</v>
      </c>
      <c r="BP44">
        <v>1</v>
      </c>
      <c r="BQ44">
        <v>6</v>
      </c>
      <c r="BR44">
        <v>0</v>
      </c>
      <c r="BS44">
        <v>18.36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80</v>
      </c>
      <c r="CA44">
        <v>50</v>
      </c>
      <c r="CF44">
        <v>0</v>
      </c>
      <c r="CG44">
        <v>0</v>
      </c>
      <c r="CM44">
        <v>0</v>
      </c>
      <c r="CO44">
        <v>0</v>
      </c>
      <c r="CP44">
        <f t="shared" si="16"/>
        <v>169056.52</v>
      </c>
      <c r="CQ44">
        <f t="shared" si="17"/>
        <v>0</v>
      </c>
      <c r="CR44">
        <f t="shared" si="18"/>
        <v>0</v>
      </c>
      <c r="CS44">
        <f t="shared" si="19"/>
        <v>0</v>
      </c>
      <c r="CT44">
        <f t="shared" si="20"/>
        <v>2427.9264000000003</v>
      </c>
      <c r="CU44">
        <f t="shared" si="21"/>
        <v>0</v>
      </c>
      <c r="CV44">
        <f t="shared" si="22"/>
        <v>20.8</v>
      </c>
      <c r="CW44">
        <f t="shared" si="23"/>
        <v>0</v>
      </c>
      <c r="CX44">
        <f t="shared" si="24"/>
        <v>0</v>
      </c>
      <c r="CY44">
        <f t="shared" si="25"/>
        <v>114958.4336</v>
      </c>
      <c r="CZ44">
        <f t="shared" si="26"/>
        <v>67622.608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1005</v>
      </c>
      <c r="DV44" t="s">
        <v>60</v>
      </c>
      <c r="DW44" t="s">
        <v>62</v>
      </c>
      <c r="DX44">
        <v>100</v>
      </c>
      <c r="EE44">
        <v>20981313</v>
      </c>
      <c r="EF44">
        <v>6</v>
      </c>
      <c r="EG44" t="s">
        <v>45</v>
      </c>
      <c r="EH44">
        <v>0</v>
      </c>
      <c r="EJ44">
        <v>1</v>
      </c>
      <c r="EK44">
        <v>62001</v>
      </c>
      <c r="EL44" t="s">
        <v>63</v>
      </c>
      <c r="EM44" t="s">
        <v>64</v>
      </c>
      <c r="EQ44">
        <v>64</v>
      </c>
      <c r="ER44">
        <v>132.24</v>
      </c>
      <c r="ES44">
        <v>0</v>
      </c>
      <c r="ET44">
        <v>0</v>
      </c>
      <c r="EU44">
        <v>0</v>
      </c>
      <c r="EV44">
        <v>132.24</v>
      </c>
      <c r="EW44">
        <v>20.8</v>
      </c>
      <c r="EX44">
        <v>0</v>
      </c>
      <c r="EY44">
        <v>0</v>
      </c>
      <c r="EZ44">
        <v>0</v>
      </c>
      <c r="FQ44">
        <v>0</v>
      </c>
      <c r="FR44">
        <f t="shared" si="27"/>
        <v>0</v>
      </c>
      <c r="FS44">
        <v>0</v>
      </c>
      <c r="FV44" t="s">
        <v>35</v>
      </c>
      <c r="FW44" t="s">
        <v>36</v>
      </c>
      <c r="FX44">
        <v>80</v>
      </c>
      <c r="FY44">
        <v>50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</row>
    <row r="45" spans="1:194" ht="12.75">
      <c r="A45">
        <v>17</v>
      </c>
      <c r="B45">
        <v>1</v>
      </c>
      <c r="C45">
        <f>ROW(SmtRes!A70)</f>
        <v>70</v>
      </c>
      <c r="D45">
        <f>ROW(EtalonRes!A68)</f>
        <v>68</v>
      </c>
      <c r="E45" t="s">
        <v>95</v>
      </c>
      <c r="F45" t="s">
        <v>96</v>
      </c>
      <c r="G45" t="s">
        <v>97</v>
      </c>
      <c r="H45" t="s">
        <v>98</v>
      </c>
      <c r="I45">
        <v>13.926</v>
      </c>
      <c r="J45">
        <v>0</v>
      </c>
      <c r="O45">
        <f t="shared" si="4"/>
        <v>78198.49</v>
      </c>
      <c r="P45">
        <f t="shared" si="5"/>
        <v>0</v>
      </c>
      <c r="Q45">
        <f t="shared" si="6"/>
        <v>22526.43</v>
      </c>
      <c r="R45">
        <f t="shared" si="7"/>
        <v>0</v>
      </c>
      <c r="S45">
        <f t="shared" si="8"/>
        <v>55672.06</v>
      </c>
      <c r="T45">
        <f t="shared" si="9"/>
        <v>0</v>
      </c>
      <c r="U45">
        <f t="shared" si="10"/>
        <v>446.04978</v>
      </c>
      <c r="V45">
        <f t="shared" si="11"/>
        <v>0</v>
      </c>
      <c r="W45">
        <f t="shared" si="12"/>
        <v>0</v>
      </c>
      <c r="X45">
        <f t="shared" si="13"/>
        <v>47321.25</v>
      </c>
      <c r="Y45">
        <f t="shared" si="14"/>
        <v>31176.35</v>
      </c>
      <c r="AA45">
        <v>0</v>
      </c>
      <c r="AB45">
        <f t="shared" si="15"/>
        <v>562.64</v>
      </c>
      <c r="AC45">
        <f>((ES45*0))</f>
        <v>0</v>
      </c>
      <c r="AD45">
        <f t="shared" si="34"/>
        <v>344.9</v>
      </c>
      <c r="AE45">
        <f t="shared" si="35"/>
        <v>0</v>
      </c>
      <c r="AF45">
        <f t="shared" si="36"/>
        <v>217.74</v>
      </c>
      <c r="AG45">
        <f t="shared" si="30"/>
        <v>0</v>
      </c>
      <c r="AH45">
        <f t="shared" si="31"/>
        <v>32.03</v>
      </c>
      <c r="AI45">
        <f t="shared" si="32"/>
        <v>0</v>
      </c>
      <c r="AJ45">
        <f t="shared" si="33"/>
        <v>0</v>
      </c>
      <c r="AK45">
        <v>5544.7699999999995</v>
      </c>
      <c r="AL45">
        <v>4982.13</v>
      </c>
      <c r="AM45">
        <v>344.9</v>
      </c>
      <c r="AN45">
        <v>0</v>
      </c>
      <c r="AO45">
        <v>217.74</v>
      </c>
      <c r="AP45">
        <v>0</v>
      </c>
      <c r="AQ45">
        <v>32.03</v>
      </c>
      <c r="AR45">
        <v>0</v>
      </c>
      <c r="AS45">
        <v>0</v>
      </c>
      <c r="AT45">
        <v>85</v>
      </c>
      <c r="AU45">
        <v>56</v>
      </c>
      <c r="AV45">
        <v>1</v>
      </c>
      <c r="AW45">
        <v>1</v>
      </c>
      <c r="AX45">
        <v>1</v>
      </c>
      <c r="AY45">
        <v>1</v>
      </c>
      <c r="AZ45">
        <v>4.25</v>
      </c>
      <c r="BA45">
        <v>18.36</v>
      </c>
      <c r="BB45">
        <v>4.69</v>
      </c>
      <c r="BC45">
        <v>2.13</v>
      </c>
      <c r="BH45">
        <v>0</v>
      </c>
      <c r="BI45">
        <v>1</v>
      </c>
      <c r="BJ45" t="s">
        <v>99</v>
      </c>
      <c r="BM45">
        <v>26001</v>
      </c>
      <c r="BN45">
        <v>0</v>
      </c>
      <c r="BO45" t="s">
        <v>96</v>
      </c>
      <c r="BP45">
        <v>1</v>
      </c>
      <c r="BQ45">
        <v>2</v>
      </c>
      <c r="BR45">
        <v>0</v>
      </c>
      <c r="BS45">
        <v>18.36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100</v>
      </c>
      <c r="CA45">
        <v>70</v>
      </c>
      <c r="CF45">
        <v>0</v>
      </c>
      <c r="CG45">
        <v>0</v>
      </c>
      <c r="CM45">
        <v>0</v>
      </c>
      <c r="CO45">
        <v>0</v>
      </c>
      <c r="CP45">
        <f t="shared" si="16"/>
        <v>78198.48999999999</v>
      </c>
      <c r="CQ45">
        <f t="shared" si="17"/>
        <v>0</v>
      </c>
      <c r="CR45">
        <f t="shared" si="18"/>
        <v>1617.5810000000001</v>
      </c>
      <c r="CS45">
        <f t="shared" si="19"/>
        <v>0</v>
      </c>
      <c r="CT45">
        <f t="shared" si="20"/>
        <v>3997.7064</v>
      </c>
      <c r="CU45">
        <f t="shared" si="21"/>
        <v>0</v>
      </c>
      <c r="CV45">
        <f t="shared" si="22"/>
        <v>32.03</v>
      </c>
      <c r="CW45">
        <f t="shared" si="23"/>
        <v>0</v>
      </c>
      <c r="CX45">
        <f t="shared" si="24"/>
        <v>0</v>
      </c>
      <c r="CY45">
        <f t="shared" si="25"/>
        <v>47321.251</v>
      </c>
      <c r="CZ45">
        <f t="shared" si="26"/>
        <v>31176.353600000002</v>
      </c>
      <c r="DD45" t="s">
        <v>29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1007</v>
      </c>
      <c r="DV45" t="s">
        <v>98</v>
      </c>
      <c r="DW45" t="s">
        <v>100</v>
      </c>
      <c r="DX45">
        <v>1</v>
      </c>
      <c r="EE45">
        <v>20981269</v>
      </c>
      <c r="EF45">
        <v>2</v>
      </c>
      <c r="EG45" t="s">
        <v>32</v>
      </c>
      <c r="EH45">
        <v>0</v>
      </c>
      <c r="EJ45">
        <v>1</v>
      </c>
      <c r="EK45">
        <v>26001</v>
      </c>
      <c r="EL45" t="s">
        <v>101</v>
      </c>
      <c r="EM45" t="s">
        <v>102</v>
      </c>
      <c r="EQ45">
        <v>64</v>
      </c>
      <c r="ER45">
        <v>5544.7699999999995</v>
      </c>
      <c r="ES45">
        <v>4982.13</v>
      </c>
      <c r="ET45">
        <v>344.9</v>
      </c>
      <c r="EU45">
        <v>0</v>
      </c>
      <c r="EV45">
        <v>217.74</v>
      </c>
      <c r="EW45">
        <v>32.03</v>
      </c>
      <c r="EX45">
        <v>0</v>
      </c>
      <c r="EY45">
        <v>0</v>
      </c>
      <c r="EZ45">
        <v>0</v>
      </c>
      <c r="FQ45">
        <v>0</v>
      </c>
      <c r="FR45">
        <f t="shared" si="27"/>
        <v>0</v>
      </c>
      <c r="FS45">
        <v>0</v>
      </c>
      <c r="FV45" t="s">
        <v>35</v>
      </c>
      <c r="FW45" t="s">
        <v>36</v>
      </c>
      <c r="FX45">
        <v>100</v>
      </c>
      <c r="FY45">
        <v>70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</row>
    <row r="46" spans="1:194" ht="12.75">
      <c r="A46">
        <v>17</v>
      </c>
      <c r="B46">
        <v>1</v>
      </c>
      <c r="E46" t="s">
        <v>103</v>
      </c>
      <c r="F46" t="s">
        <v>104</v>
      </c>
      <c r="G46" t="s">
        <v>105</v>
      </c>
      <c r="H46" t="s">
        <v>76</v>
      </c>
      <c r="I46">
        <v>50.69</v>
      </c>
      <c r="J46">
        <v>0</v>
      </c>
      <c r="O46">
        <f t="shared" si="4"/>
        <v>5023.89</v>
      </c>
      <c r="P46">
        <f t="shared" si="5"/>
        <v>5023.89</v>
      </c>
      <c r="Q46">
        <f t="shared" si="6"/>
        <v>0</v>
      </c>
      <c r="R46">
        <f t="shared" si="7"/>
        <v>0</v>
      </c>
      <c r="S46">
        <f t="shared" si="8"/>
        <v>0</v>
      </c>
      <c r="T46">
        <f t="shared" si="9"/>
        <v>0</v>
      </c>
      <c r="U46">
        <f t="shared" si="10"/>
        <v>0</v>
      </c>
      <c r="V46">
        <f t="shared" si="11"/>
        <v>0</v>
      </c>
      <c r="W46">
        <f t="shared" si="12"/>
        <v>0</v>
      </c>
      <c r="X46">
        <f t="shared" si="13"/>
        <v>0</v>
      </c>
      <c r="Y46">
        <f t="shared" si="14"/>
        <v>0</v>
      </c>
      <c r="AA46">
        <v>0</v>
      </c>
      <c r="AB46">
        <f t="shared" si="15"/>
        <v>99.11</v>
      </c>
      <c r="AC46">
        <f>(ES46)</f>
        <v>99.11</v>
      </c>
      <c r="AD46">
        <f t="shared" si="34"/>
        <v>0</v>
      </c>
      <c r="AE46">
        <f t="shared" si="35"/>
        <v>0</v>
      </c>
      <c r="AF46">
        <f t="shared" si="36"/>
        <v>0</v>
      </c>
      <c r="AG46">
        <f t="shared" si="30"/>
        <v>0</v>
      </c>
      <c r="AH46">
        <f t="shared" si="31"/>
        <v>0</v>
      </c>
      <c r="AI46">
        <f t="shared" si="32"/>
        <v>0</v>
      </c>
      <c r="AJ46">
        <f t="shared" si="33"/>
        <v>0</v>
      </c>
      <c r="AK46">
        <v>99.11</v>
      </c>
      <c r="AL46">
        <v>99.11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H46">
        <v>3</v>
      </c>
      <c r="BI46">
        <v>4</v>
      </c>
      <c r="BM46">
        <v>0</v>
      </c>
      <c r="BN46">
        <v>0</v>
      </c>
      <c r="BP46">
        <v>0</v>
      </c>
      <c r="BQ46">
        <v>1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0</v>
      </c>
      <c r="CA46">
        <v>0</v>
      </c>
      <c r="CF46">
        <v>0</v>
      </c>
      <c r="CG46">
        <v>0</v>
      </c>
      <c r="CM46">
        <v>0</v>
      </c>
      <c r="CO46">
        <v>0</v>
      </c>
      <c r="CP46">
        <f t="shared" si="16"/>
        <v>5023.89</v>
      </c>
      <c r="CQ46">
        <f t="shared" si="17"/>
        <v>99.11</v>
      </c>
      <c r="CR46">
        <f t="shared" si="18"/>
        <v>0</v>
      </c>
      <c r="CS46">
        <f t="shared" si="19"/>
        <v>0</v>
      </c>
      <c r="CT46">
        <f t="shared" si="20"/>
        <v>0</v>
      </c>
      <c r="CU46">
        <f t="shared" si="21"/>
        <v>0</v>
      </c>
      <c r="CV46">
        <f t="shared" si="22"/>
        <v>0</v>
      </c>
      <c r="CW46">
        <f t="shared" si="23"/>
        <v>0</v>
      </c>
      <c r="CX46">
        <f t="shared" si="24"/>
        <v>0</v>
      </c>
      <c r="CY46">
        <f t="shared" si="25"/>
        <v>0</v>
      </c>
      <c r="CZ46">
        <f t="shared" si="26"/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1009</v>
      </c>
      <c r="DV46" t="s">
        <v>76</v>
      </c>
      <c r="DW46" t="s">
        <v>76</v>
      </c>
      <c r="DX46">
        <v>1</v>
      </c>
      <c r="EE46">
        <v>20981170</v>
      </c>
      <c r="EF46">
        <v>1</v>
      </c>
      <c r="EG46" t="s">
        <v>77</v>
      </c>
      <c r="EH46">
        <v>0</v>
      </c>
      <c r="EJ46">
        <v>4</v>
      </c>
      <c r="EK46">
        <v>0</v>
      </c>
      <c r="EL46" t="s">
        <v>77</v>
      </c>
      <c r="EM46" t="s">
        <v>78</v>
      </c>
      <c r="EQ46">
        <v>0</v>
      </c>
      <c r="ER46">
        <v>0</v>
      </c>
      <c r="ES46">
        <v>99.11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Q46">
        <v>0</v>
      </c>
      <c r="FR46">
        <f t="shared" si="27"/>
        <v>0</v>
      </c>
      <c r="FS46">
        <v>0</v>
      </c>
      <c r="FV46" t="s">
        <v>35</v>
      </c>
      <c r="FW46" t="s">
        <v>36</v>
      </c>
      <c r="FX46">
        <v>0</v>
      </c>
      <c r="FY46">
        <v>0</v>
      </c>
      <c r="GA46">
        <v>99.11</v>
      </c>
      <c r="GB46">
        <v>99.11</v>
      </c>
      <c r="GC46">
        <v>0</v>
      </c>
      <c r="GD46">
        <v>0</v>
      </c>
      <c r="GE46">
        <v>0</v>
      </c>
      <c r="GF46">
        <v>99.11</v>
      </c>
      <c r="GG46">
        <v>99.11</v>
      </c>
      <c r="GH46">
        <v>0</v>
      </c>
      <c r="GI46">
        <v>0</v>
      </c>
      <c r="GJ46">
        <v>0</v>
      </c>
      <c r="GK46">
        <v>1</v>
      </c>
      <c r="GL46">
        <v>0</v>
      </c>
    </row>
    <row r="47" spans="1:194" ht="12.75">
      <c r="A47">
        <v>17</v>
      </c>
      <c r="B47">
        <v>1</v>
      </c>
      <c r="E47" t="s">
        <v>106</v>
      </c>
      <c r="F47" t="s">
        <v>107</v>
      </c>
      <c r="G47" t="s">
        <v>108</v>
      </c>
      <c r="H47" t="s">
        <v>109</v>
      </c>
      <c r="I47">
        <v>0.0578</v>
      </c>
      <c r="J47">
        <v>0</v>
      </c>
      <c r="O47">
        <f t="shared" si="4"/>
        <v>787.47</v>
      </c>
      <c r="P47">
        <f t="shared" si="5"/>
        <v>787.47</v>
      </c>
      <c r="Q47">
        <f t="shared" si="6"/>
        <v>0</v>
      </c>
      <c r="R47">
        <f t="shared" si="7"/>
        <v>0</v>
      </c>
      <c r="S47">
        <f t="shared" si="8"/>
        <v>0</v>
      </c>
      <c r="T47">
        <f t="shared" si="9"/>
        <v>0</v>
      </c>
      <c r="U47">
        <f t="shared" si="10"/>
        <v>0</v>
      </c>
      <c r="V47">
        <f t="shared" si="11"/>
        <v>0</v>
      </c>
      <c r="W47">
        <f t="shared" si="12"/>
        <v>0</v>
      </c>
      <c r="X47">
        <f t="shared" si="13"/>
        <v>0</v>
      </c>
      <c r="Y47">
        <f t="shared" si="14"/>
        <v>0</v>
      </c>
      <c r="AA47">
        <v>0</v>
      </c>
      <c r="AB47">
        <f t="shared" si="15"/>
        <v>13624</v>
      </c>
      <c r="AC47">
        <f>(ES47)</f>
        <v>13624</v>
      </c>
      <c r="AD47">
        <f t="shared" si="34"/>
        <v>0</v>
      </c>
      <c r="AE47">
        <f t="shared" si="35"/>
        <v>0</v>
      </c>
      <c r="AF47">
        <f t="shared" si="36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13624</v>
      </c>
      <c r="AL47">
        <v>13624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1</v>
      </c>
      <c r="BJ47" t="s">
        <v>110</v>
      </c>
      <c r="BM47">
        <v>500001</v>
      </c>
      <c r="BN47">
        <v>0</v>
      </c>
      <c r="BO47" t="s">
        <v>107</v>
      </c>
      <c r="BP47">
        <v>1</v>
      </c>
      <c r="BQ47">
        <v>8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0</v>
      </c>
      <c r="CA47">
        <v>0</v>
      </c>
      <c r="CF47">
        <v>0</v>
      </c>
      <c r="CG47">
        <v>0</v>
      </c>
      <c r="CM47">
        <v>0</v>
      </c>
      <c r="CO47">
        <v>0</v>
      </c>
      <c r="CP47">
        <f t="shared" si="16"/>
        <v>787.47</v>
      </c>
      <c r="CQ47">
        <f t="shared" si="17"/>
        <v>13624</v>
      </c>
      <c r="CR47">
        <f t="shared" si="18"/>
        <v>0</v>
      </c>
      <c r="CS47">
        <f t="shared" si="19"/>
        <v>0</v>
      </c>
      <c r="CT47">
        <f t="shared" si="20"/>
        <v>0</v>
      </c>
      <c r="CU47">
        <f t="shared" si="21"/>
        <v>0</v>
      </c>
      <c r="CV47">
        <f t="shared" si="22"/>
        <v>0</v>
      </c>
      <c r="CW47">
        <f t="shared" si="23"/>
        <v>0</v>
      </c>
      <c r="CX47">
        <f t="shared" si="24"/>
        <v>0</v>
      </c>
      <c r="CY47">
        <f>(0)*BX47</f>
        <v>0</v>
      </c>
      <c r="CZ47">
        <f>(0)*AX47</f>
        <v>0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1009</v>
      </c>
      <c r="DV47" t="s">
        <v>109</v>
      </c>
      <c r="DW47" t="s">
        <v>109</v>
      </c>
      <c r="DX47">
        <v>1000</v>
      </c>
      <c r="EE47">
        <v>20981161</v>
      </c>
      <c r="EF47">
        <v>8</v>
      </c>
      <c r="EG47" t="s">
        <v>111</v>
      </c>
      <c r="EH47">
        <v>0</v>
      </c>
      <c r="EJ47">
        <v>1</v>
      </c>
      <c r="EK47">
        <v>500001</v>
      </c>
      <c r="EL47" t="s">
        <v>112</v>
      </c>
      <c r="EM47" t="s">
        <v>113</v>
      </c>
      <c r="EQ47">
        <v>0</v>
      </c>
      <c r="ER47">
        <v>23499.99</v>
      </c>
      <c r="ES47">
        <v>13624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Q47">
        <v>0</v>
      </c>
      <c r="FR47">
        <f t="shared" si="27"/>
        <v>0</v>
      </c>
      <c r="FS47">
        <v>0</v>
      </c>
      <c r="FX47">
        <v>0</v>
      </c>
      <c r="FY47">
        <v>0</v>
      </c>
      <c r="GA47">
        <v>23499.99</v>
      </c>
      <c r="GB47">
        <v>23499.99</v>
      </c>
      <c r="GC47">
        <v>0</v>
      </c>
      <c r="GD47">
        <v>0</v>
      </c>
      <c r="GE47">
        <v>0</v>
      </c>
      <c r="GF47">
        <v>23499.99</v>
      </c>
      <c r="GG47">
        <v>23499.99</v>
      </c>
      <c r="GH47">
        <v>0</v>
      </c>
      <c r="GI47">
        <v>0</v>
      </c>
      <c r="GJ47">
        <v>0</v>
      </c>
      <c r="GK47">
        <v>0</v>
      </c>
      <c r="GL47">
        <v>0</v>
      </c>
    </row>
    <row r="48" spans="1:194" ht="12.75">
      <c r="A48">
        <v>17</v>
      </c>
      <c r="B48">
        <v>1</v>
      </c>
      <c r="E48" t="s">
        <v>114</v>
      </c>
      <c r="F48" t="s">
        <v>74</v>
      </c>
      <c r="G48" t="s">
        <v>115</v>
      </c>
      <c r="H48" t="s">
        <v>76</v>
      </c>
      <c r="I48">
        <v>22977.9</v>
      </c>
      <c r="J48">
        <v>0</v>
      </c>
      <c r="O48">
        <f t="shared" si="4"/>
        <v>3227935.39</v>
      </c>
      <c r="P48">
        <f t="shared" si="5"/>
        <v>3227935.39</v>
      </c>
      <c r="Q48">
        <f t="shared" si="6"/>
        <v>0</v>
      </c>
      <c r="R48">
        <f t="shared" si="7"/>
        <v>0</v>
      </c>
      <c r="S48">
        <f t="shared" si="8"/>
        <v>0</v>
      </c>
      <c r="T48">
        <f t="shared" si="9"/>
        <v>0</v>
      </c>
      <c r="U48">
        <f t="shared" si="10"/>
        <v>0</v>
      </c>
      <c r="V48">
        <f t="shared" si="11"/>
        <v>0</v>
      </c>
      <c r="W48">
        <f t="shared" si="12"/>
        <v>0</v>
      </c>
      <c r="X48">
        <f t="shared" si="13"/>
        <v>0</v>
      </c>
      <c r="Y48">
        <f t="shared" si="14"/>
        <v>0</v>
      </c>
      <c r="AA48">
        <v>0</v>
      </c>
      <c r="AB48">
        <f t="shared" si="15"/>
        <v>140.48</v>
      </c>
      <c r="AC48">
        <f>(ES48)</f>
        <v>140.48</v>
      </c>
      <c r="AD48">
        <f t="shared" si="34"/>
        <v>0</v>
      </c>
      <c r="AE48">
        <f t="shared" si="35"/>
        <v>0</v>
      </c>
      <c r="AF48">
        <f t="shared" si="36"/>
        <v>0</v>
      </c>
      <c r="AG48">
        <f t="shared" si="30"/>
        <v>0</v>
      </c>
      <c r="AH48">
        <f t="shared" si="31"/>
        <v>0</v>
      </c>
      <c r="AI48">
        <f t="shared" si="32"/>
        <v>0</v>
      </c>
      <c r="AJ48">
        <f t="shared" si="33"/>
        <v>0</v>
      </c>
      <c r="AK48">
        <v>140.48</v>
      </c>
      <c r="AL48">
        <v>140.48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4</v>
      </c>
      <c r="BM48">
        <v>0</v>
      </c>
      <c r="BN48">
        <v>0</v>
      </c>
      <c r="BP48">
        <v>0</v>
      </c>
      <c r="BQ48">
        <v>1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0</v>
      </c>
      <c r="CA48">
        <v>0</v>
      </c>
      <c r="CF48">
        <v>0</v>
      </c>
      <c r="CG48">
        <v>0</v>
      </c>
      <c r="CM48">
        <v>0</v>
      </c>
      <c r="CO48">
        <v>0</v>
      </c>
      <c r="CP48">
        <f t="shared" si="16"/>
        <v>3227935.39</v>
      </c>
      <c r="CQ48">
        <f t="shared" si="17"/>
        <v>140.48</v>
      </c>
      <c r="CR48">
        <f t="shared" si="18"/>
        <v>0</v>
      </c>
      <c r="CS48">
        <f t="shared" si="19"/>
        <v>0</v>
      </c>
      <c r="CT48">
        <f t="shared" si="20"/>
        <v>0</v>
      </c>
      <c r="CU48">
        <f t="shared" si="21"/>
        <v>0</v>
      </c>
      <c r="CV48">
        <f t="shared" si="22"/>
        <v>0</v>
      </c>
      <c r="CW48">
        <f t="shared" si="23"/>
        <v>0</v>
      </c>
      <c r="CX48">
        <f t="shared" si="24"/>
        <v>0</v>
      </c>
      <c r="CY48">
        <f>((S48+R48)*(ROUND((FX48*IF(1,(IF(0,0.94,0.85)*IF(0,0.85,1)),1)),IF(1,0,2))/100))</f>
        <v>0</v>
      </c>
      <c r="CZ48">
        <f>((S48+R48)*(ROUND((FY48*IF(1,0.8,1)),IF(1,0,2))/100))</f>
        <v>0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1009</v>
      </c>
      <c r="DV48" t="s">
        <v>76</v>
      </c>
      <c r="DW48" t="s">
        <v>76</v>
      </c>
      <c r="DX48">
        <v>1</v>
      </c>
      <c r="EE48">
        <v>20981170</v>
      </c>
      <c r="EF48">
        <v>1</v>
      </c>
      <c r="EG48" t="s">
        <v>77</v>
      </c>
      <c r="EH48">
        <v>0</v>
      </c>
      <c r="EJ48">
        <v>4</v>
      </c>
      <c r="EK48">
        <v>0</v>
      </c>
      <c r="EL48" t="s">
        <v>77</v>
      </c>
      <c r="EM48" t="s">
        <v>78</v>
      </c>
      <c r="EQ48">
        <v>0</v>
      </c>
      <c r="ER48">
        <v>0</v>
      </c>
      <c r="ES48">
        <v>140.48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Q48">
        <v>0</v>
      </c>
      <c r="FR48">
        <f t="shared" si="27"/>
        <v>0</v>
      </c>
      <c r="FS48">
        <v>0</v>
      </c>
      <c r="FV48" t="s">
        <v>35</v>
      </c>
      <c r="FW48" t="s">
        <v>36</v>
      </c>
      <c r="FX48">
        <v>0</v>
      </c>
      <c r="FY48">
        <v>0</v>
      </c>
      <c r="GA48">
        <v>140.48</v>
      </c>
      <c r="GB48">
        <v>140.48</v>
      </c>
      <c r="GC48">
        <v>0</v>
      </c>
      <c r="GD48">
        <v>0</v>
      </c>
      <c r="GE48">
        <v>0</v>
      </c>
      <c r="GF48">
        <v>140.48</v>
      </c>
      <c r="GG48">
        <v>140.48</v>
      </c>
      <c r="GH48">
        <v>0</v>
      </c>
      <c r="GI48">
        <v>0</v>
      </c>
      <c r="GJ48">
        <v>0</v>
      </c>
      <c r="GK48">
        <v>1</v>
      </c>
      <c r="GL48">
        <v>0</v>
      </c>
    </row>
    <row r="49" spans="1:194" ht="12.75">
      <c r="A49">
        <v>17</v>
      </c>
      <c r="B49">
        <v>1</v>
      </c>
      <c r="E49" t="s">
        <v>116</v>
      </c>
      <c r="F49" t="s">
        <v>74</v>
      </c>
      <c r="G49" t="s">
        <v>117</v>
      </c>
      <c r="H49" t="s">
        <v>118</v>
      </c>
      <c r="I49">
        <v>2100</v>
      </c>
      <c r="J49">
        <v>0</v>
      </c>
      <c r="O49">
        <f t="shared" si="4"/>
        <v>8400</v>
      </c>
      <c r="P49">
        <f t="shared" si="5"/>
        <v>8400</v>
      </c>
      <c r="Q49">
        <f t="shared" si="6"/>
        <v>0</v>
      </c>
      <c r="R49">
        <f t="shared" si="7"/>
        <v>0</v>
      </c>
      <c r="S49">
        <f t="shared" si="8"/>
        <v>0</v>
      </c>
      <c r="T49">
        <f t="shared" si="9"/>
        <v>0</v>
      </c>
      <c r="U49">
        <f t="shared" si="10"/>
        <v>0</v>
      </c>
      <c r="V49">
        <f t="shared" si="11"/>
        <v>0</v>
      </c>
      <c r="W49">
        <f t="shared" si="12"/>
        <v>0</v>
      </c>
      <c r="X49">
        <f t="shared" si="13"/>
        <v>0</v>
      </c>
      <c r="Y49">
        <f t="shared" si="14"/>
        <v>0</v>
      </c>
      <c r="AA49">
        <v>0</v>
      </c>
      <c r="AB49">
        <f t="shared" si="15"/>
        <v>4</v>
      </c>
      <c r="AC49">
        <f>(ES49)</f>
        <v>4</v>
      </c>
      <c r="AD49">
        <f t="shared" si="34"/>
        <v>0</v>
      </c>
      <c r="AE49">
        <f t="shared" si="35"/>
        <v>0</v>
      </c>
      <c r="AF49">
        <f t="shared" si="36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4</v>
      </c>
      <c r="AL49">
        <v>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4</v>
      </c>
      <c r="BM49">
        <v>0</v>
      </c>
      <c r="BN49">
        <v>0</v>
      </c>
      <c r="BP49">
        <v>0</v>
      </c>
      <c r="BQ49">
        <v>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0</v>
      </c>
      <c r="CA49">
        <v>0</v>
      </c>
      <c r="CF49">
        <v>0</v>
      </c>
      <c r="CG49">
        <v>0</v>
      </c>
      <c r="CM49">
        <v>0</v>
      </c>
      <c r="CO49">
        <v>0</v>
      </c>
      <c r="CP49">
        <f t="shared" si="16"/>
        <v>8400</v>
      </c>
      <c r="CQ49">
        <f t="shared" si="17"/>
        <v>4</v>
      </c>
      <c r="CR49">
        <f t="shared" si="18"/>
        <v>0</v>
      </c>
      <c r="CS49">
        <f t="shared" si="19"/>
        <v>0</v>
      </c>
      <c r="CT49">
        <f t="shared" si="20"/>
        <v>0</v>
      </c>
      <c r="CU49">
        <f t="shared" si="21"/>
        <v>0</v>
      </c>
      <c r="CV49">
        <f t="shared" si="22"/>
        <v>0</v>
      </c>
      <c r="CW49">
        <f t="shared" si="23"/>
        <v>0</v>
      </c>
      <c r="CX49">
        <f t="shared" si="24"/>
        <v>0</v>
      </c>
      <c r="CY49">
        <f>((S49+R49)*(ROUND((FX49*IF(1,(IF(0,0.94,0.85)*IF(0,0.85,1)),1)),IF(1,0,2))/100))</f>
        <v>0</v>
      </c>
      <c r="CZ49">
        <f>((S49+R49)*(ROUND((FY49*IF(1,0.8,1)),IF(1,0,2))/100))</f>
        <v>0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1002</v>
      </c>
      <c r="DV49" t="s">
        <v>118</v>
      </c>
      <c r="DW49" t="s">
        <v>118</v>
      </c>
      <c r="DX49">
        <v>1</v>
      </c>
      <c r="EE49">
        <v>20981170</v>
      </c>
      <c r="EF49">
        <v>1</v>
      </c>
      <c r="EG49" t="s">
        <v>77</v>
      </c>
      <c r="EH49">
        <v>0</v>
      </c>
      <c r="EJ49">
        <v>4</v>
      </c>
      <c r="EK49">
        <v>0</v>
      </c>
      <c r="EL49" t="s">
        <v>77</v>
      </c>
      <c r="EM49" t="s">
        <v>78</v>
      </c>
      <c r="EQ49">
        <v>0</v>
      </c>
      <c r="ER49">
        <v>0</v>
      </c>
      <c r="ES49">
        <v>4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Q49">
        <v>0</v>
      </c>
      <c r="FR49">
        <f t="shared" si="27"/>
        <v>0</v>
      </c>
      <c r="FS49">
        <v>0</v>
      </c>
      <c r="FV49" t="s">
        <v>35</v>
      </c>
      <c r="FW49" t="s">
        <v>36</v>
      </c>
      <c r="FX49">
        <v>0</v>
      </c>
      <c r="FY49">
        <v>0</v>
      </c>
      <c r="GA49">
        <v>4</v>
      </c>
      <c r="GB49">
        <v>4</v>
      </c>
      <c r="GC49">
        <v>0</v>
      </c>
      <c r="GD49">
        <v>0</v>
      </c>
      <c r="GE49">
        <v>0</v>
      </c>
      <c r="GF49">
        <v>4</v>
      </c>
      <c r="GG49">
        <v>4</v>
      </c>
      <c r="GH49">
        <v>0</v>
      </c>
      <c r="GI49">
        <v>0</v>
      </c>
      <c r="GJ49">
        <v>0</v>
      </c>
      <c r="GK49">
        <v>1</v>
      </c>
      <c r="GL49">
        <v>0</v>
      </c>
    </row>
    <row r="51" spans="1:43" ht="12.75">
      <c r="A51" s="2">
        <v>51</v>
      </c>
      <c r="B51" s="2">
        <f>B28</f>
        <v>1</v>
      </c>
      <c r="C51" s="2">
        <f>A28</f>
        <v>5</v>
      </c>
      <c r="D51" s="2">
        <f>ROW(A28)</f>
        <v>28</v>
      </c>
      <c r="E51" s="2"/>
      <c r="F51" s="2" t="str">
        <f>IF(F28&lt;&gt;"",F28,"")</f>
        <v>Новый подраздел</v>
      </c>
      <c r="G51" s="2" t="str">
        <f>IF(G28&lt;&gt;"",G28,"")</f>
        <v>Строительные работы</v>
      </c>
      <c r="H51" s="2"/>
      <c r="I51" s="2"/>
      <c r="J51" s="2"/>
      <c r="K51" s="2"/>
      <c r="L51" s="2"/>
      <c r="M51" s="2"/>
      <c r="N51" s="2"/>
      <c r="O51" s="2">
        <f aca="true" t="shared" si="37" ref="O51:Y51">ROUND(AB51,2)</f>
        <v>6583921.74</v>
      </c>
      <c r="P51" s="2">
        <f t="shared" si="37"/>
        <v>6061003.52</v>
      </c>
      <c r="Q51" s="2">
        <f t="shared" si="37"/>
        <v>51084.73</v>
      </c>
      <c r="R51" s="2">
        <f t="shared" si="37"/>
        <v>5273.82</v>
      </c>
      <c r="S51" s="2">
        <f t="shared" si="37"/>
        <v>471833.49</v>
      </c>
      <c r="T51" s="2">
        <f t="shared" si="37"/>
        <v>0</v>
      </c>
      <c r="U51" s="2">
        <f t="shared" si="37"/>
        <v>4029.34</v>
      </c>
      <c r="V51" s="2">
        <f t="shared" si="37"/>
        <v>24.11</v>
      </c>
      <c r="W51" s="2">
        <f t="shared" si="37"/>
        <v>0</v>
      </c>
      <c r="X51" s="2">
        <f t="shared" si="37"/>
        <v>388130.86</v>
      </c>
      <c r="Y51" s="2">
        <f t="shared" si="37"/>
        <v>230221.34</v>
      </c>
      <c r="Z51" s="2"/>
      <c r="AA51" s="2"/>
      <c r="AB51" s="2">
        <f>ROUND(SUMIF(AA32:AA49,"=0",O32:O49),2)</f>
        <v>6583921.74</v>
      </c>
      <c r="AC51" s="2">
        <f>ROUND(SUMIF(AA32:AA49,"=0",P32:P49),2)</f>
        <v>6061003.52</v>
      </c>
      <c r="AD51" s="2">
        <f>ROUND(SUMIF(AA32:AA49,"=0",Q32:Q49),2)</f>
        <v>51084.73</v>
      </c>
      <c r="AE51" s="2">
        <f>ROUND(SUMIF(AA32:AA49,"=0",R32:R49),2)</f>
        <v>5273.82</v>
      </c>
      <c r="AF51" s="2">
        <f>ROUND(SUMIF(AA32:AA49,"=0",S32:S49),2)</f>
        <v>471833.49</v>
      </c>
      <c r="AG51" s="2">
        <f>ROUND(SUMIF(AA32:AA49,"=0",T32:T49),2)</f>
        <v>0</v>
      </c>
      <c r="AH51" s="2">
        <f>ROUND(SUMIF(AA32:AA49,"=0",U32:U49),2)</f>
        <v>4029.34</v>
      </c>
      <c r="AI51" s="2">
        <f>ROUND(SUMIF(AA32:AA49,"=0",V32:V49),2)</f>
        <v>24.11</v>
      </c>
      <c r="AJ51" s="2">
        <f>ROUND(SUMIF(AA32:AA49,"=0",W32:W49),2)</f>
        <v>0</v>
      </c>
      <c r="AK51" s="2">
        <f>ROUND(SUMIF(AA32:AA49,"=0",X32:X49),2)</f>
        <v>388130.86</v>
      </c>
      <c r="AL51" s="2">
        <f>ROUND(SUMIF(AA32:AA49,"=0",Y32:Y49),2)</f>
        <v>230221.34</v>
      </c>
      <c r="AM51" s="2"/>
      <c r="AN51" s="2">
        <f>ROUND(AO51,2)</f>
        <v>0</v>
      </c>
      <c r="AO51" s="2">
        <f>ROUND(SUMIF(AA32:AA49,"=0",FQ32:FQ49),2)</f>
        <v>0</v>
      </c>
      <c r="AP51" s="2">
        <f>ROUND(AQ51,2)</f>
        <v>0</v>
      </c>
      <c r="AQ51" s="2">
        <f>ROUND(SUM(FR32:FR49),2)</f>
        <v>0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201</v>
      </c>
      <c r="F53" s="3">
        <f>Source!O51</f>
        <v>6583921.74</v>
      </c>
      <c r="G53" s="3" t="s">
        <v>119</v>
      </c>
      <c r="H53" s="3" t="s">
        <v>120</v>
      </c>
      <c r="I53" s="3"/>
      <c r="J53" s="3"/>
      <c r="K53" s="3">
        <v>201</v>
      </c>
      <c r="L53" s="3">
        <v>1</v>
      </c>
      <c r="M53" s="3">
        <v>3</v>
      </c>
      <c r="N53" s="3" t="s">
        <v>6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202</v>
      </c>
      <c r="F54" s="3">
        <f>Source!P51</f>
        <v>6061003.52</v>
      </c>
      <c r="G54" s="3" t="s">
        <v>121</v>
      </c>
      <c r="H54" s="3" t="s">
        <v>122</v>
      </c>
      <c r="I54" s="3"/>
      <c r="J54" s="3"/>
      <c r="K54" s="3">
        <v>202</v>
      </c>
      <c r="L54" s="3">
        <v>2</v>
      </c>
      <c r="M54" s="3">
        <v>3</v>
      </c>
      <c r="N54" s="3" t="s">
        <v>6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222</v>
      </c>
      <c r="F55" s="3">
        <f>Source!AN51</f>
        <v>0</v>
      </c>
      <c r="G55" s="3" t="s">
        <v>123</v>
      </c>
      <c r="H55" s="3" t="s">
        <v>124</v>
      </c>
      <c r="I55" s="3"/>
      <c r="J55" s="3"/>
      <c r="K55" s="3">
        <v>222</v>
      </c>
      <c r="L55" s="3">
        <v>3</v>
      </c>
      <c r="M55" s="3">
        <v>3</v>
      </c>
      <c r="N55" s="3" t="s">
        <v>6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216</v>
      </c>
      <c r="F56" s="3">
        <f>Source!AP51</f>
        <v>0</v>
      </c>
      <c r="G56" s="3" t="s">
        <v>125</v>
      </c>
      <c r="H56" s="3" t="s">
        <v>126</v>
      </c>
      <c r="I56" s="3"/>
      <c r="J56" s="3"/>
      <c r="K56" s="3">
        <v>216</v>
      </c>
      <c r="L56" s="3">
        <v>4</v>
      </c>
      <c r="M56" s="3">
        <v>3</v>
      </c>
      <c r="N56" s="3" t="s">
        <v>6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203</v>
      </c>
      <c r="F57" s="3">
        <f>Source!Q51</f>
        <v>51084.73</v>
      </c>
      <c r="G57" s="3" t="s">
        <v>127</v>
      </c>
      <c r="H57" s="3" t="s">
        <v>128</v>
      </c>
      <c r="I57" s="3"/>
      <c r="J57" s="3"/>
      <c r="K57" s="3">
        <v>203</v>
      </c>
      <c r="L57" s="3">
        <v>5</v>
      </c>
      <c r="M57" s="3">
        <v>3</v>
      </c>
      <c r="N57" s="3" t="s">
        <v>6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204</v>
      </c>
      <c r="F58" s="3">
        <f>Source!R51</f>
        <v>5273.82</v>
      </c>
      <c r="G58" s="3" t="s">
        <v>129</v>
      </c>
      <c r="H58" s="3" t="s">
        <v>130</v>
      </c>
      <c r="I58" s="3"/>
      <c r="J58" s="3"/>
      <c r="K58" s="3">
        <v>204</v>
      </c>
      <c r="L58" s="3">
        <v>6</v>
      </c>
      <c r="M58" s="3">
        <v>3</v>
      </c>
      <c r="N58" s="3" t="s">
        <v>6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205</v>
      </c>
      <c r="F59" s="3">
        <f>Source!S51</f>
        <v>471833.49</v>
      </c>
      <c r="G59" s="3" t="s">
        <v>131</v>
      </c>
      <c r="H59" s="3" t="s">
        <v>132</v>
      </c>
      <c r="I59" s="3"/>
      <c r="J59" s="3"/>
      <c r="K59" s="3">
        <v>205</v>
      </c>
      <c r="L59" s="3">
        <v>7</v>
      </c>
      <c r="M59" s="3">
        <v>3</v>
      </c>
      <c r="N59" s="3" t="s">
        <v>6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206</v>
      </c>
      <c r="F60" s="3">
        <f>Source!T51</f>
        <v>0</v>
      </c>
      <c r="G60" s="3" t="s">
        <v>133</v>
      </c>
      <c r="H60" s="3" t="s">
        <v>134</v>
      </c>
      <c r="I60" s="3"/>
      <c r="J60" s="3"/>
      <c r="K60" s="3">
        <v>206</v>
      </c>
      <c r="L60" s="3">
        <v>8</v>
      </c>
      <c r="M60" s="3">
        <v>3</v>
      </c>
      <c r="N60" s="3" t="s">
        <v>6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207</v>
      </c>
      <c r="F61" s="3">
        <f>Source!U51</f>
        <v>4029.34</v>
      </c>
      <c r="G61" s="3" t="s">
        <v>135</v>
      </c>
      <c r="H61" s="3" t="s">
        <v>136</v>
      </c>
      <c r="I61" s="3"/>
      <c r="J61" s="3"/>
      <c r="K61" s="3">
        <v>207</v>
      </c>
      <c r="L61" s="3">
        <v>9</v>
      </c>
      <c r="M61" s="3">
        <v>3</v>
      </c>
      <c r="N61" s="3" t="s">
        <v>6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208</v>
      </c>
      <c r="F62" s="3">
        <f>Source!V51</f>
        <v>24.11</v>
      </c>
      <c r="G62" s="3" t="s">
        <v>137</v>
      </c>
      <c r="H62" s="3" t="s">
        <v>138</v>
      </c>
      <c r="I62" s="3"/>
      <c r="J62" s="3"/>
      <c r="K62" s="3">
        <v>208</v>
      </c>
      <c r="L62" s="3">
        <v>10</v>
      </c>
      <c r="M62" s="3">
        <v>3</v>
      </c>
      <c r="N62" s="3" t="s">
        <v>6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209</v>
      </c>
      <c r="F63" s="3">
        <f>Source!W51</f>
        <v>0</v>
      </c>
      <c r="G63" s="3" t="s">
        <v>139</v>
      </c>
      <c r="H63" s="3" t="s">
        <v>140</v>
      </c>
      <c r="I63" s="3"/>
      <c r="J63" s="3"/>
      <c r="K63" s="3">
        <v>209</v>
      </c>
      <c r="L63" s="3">
        <v>11</v>
      </c>
      <c r="M63" s="3">
        <v>3</v>
      </c>
      <c r="N63" s="3" t="s">
        <v>6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210</v>
      </c>
      <c r="F64" s="3">
        <f>Source!X51</f>
        <v>388130.86</v>
      </c>
      <c r="G64" s="3" t="s">
        <v>141</v>
      </c>
      <c r="H64" s="3" t="s">
        <v>142</v>
      </c>
      <c r="I64" s="3"/>
      <c r="J64" s="3"/>
      <c r="K64" s="3">
        <v>210</v>
      </c>
      <c r="L64" s="3">
        <v>12</v>
      </c>
      <c r="M64" s="3">
        <v>3</v>
      </c>
      <c r="N64" s="3" t="s">
        <v>6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211</v>
      </c>
      <c r="F65" s="3">
        <f>Source!Y51</f>
        <v>230221.34</v>
      </c>
      <c r="G65" s="3" t="s">
        <v>143</v>
      </c>
      <c r="H65" s="3" t="s">
        <v>144</v>
      </c>
      <c r="I65" s="3"/>
      <c r="J65" s="3"/>
      <c r="K65" s="3">
        <v>211</v>
      </c>
      <c r="L65" s="3">
        <v>13</v>
      </c>
      <c r="M65" s="3">
        <v>3</v>
      </c>
      <c r="N65" s="3" t="s">
        <v>6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0</v>
      </c>
      <c r="F66" s="3">
        <f>ROUND(Source!F53+Source!F64+Source!F65,2)</f>
        <v>7202273.94</v>
      </c>
      <c r="G66" s="3" t="s">
        <v>145</v>
      </c>
      <c r="H66" s="3" t="s">
        <v>146</v>
      </c>
      <c r="I66" s="3"/>
      <c r="J66" s="3"/>
      <c r="K66" s="3">
        <v>212</v>
      </c>
      <c r="L66" s="3">
        <v>14</v>
      </c>
      <c r="M66" s="3">
        <v>0</v>
      </c>
      <c r="N66" s="3" t="s">
        <v>6</v>
      </c>
    </row>
    <row r="68" spans="1:43" ht="12.75">
      <c r="A68" s="2">
        <v>51</v>
      </c>
      <c r="B68" s="2">
        <f>B24</f>
        <v>1</v>
      </c>
      <c r="C68" s="2">
        <f>A24</f>
        <v>4</v>
      </c>
      <c r="D68" s="2">
        <f>ROW(A24)</f>
        <v>24</v>
      </c>
      <c r="E68" s="2"/>
      <c r="F68" s="2" t="str">
        <f>IF(F24&lt;&gt;"",F24,"")</f>
        <v>Новый раздел</v>
      </c>
      <c r="G68" s="2" t="str">
        <f>IF(G24&lt;&gt;"",G24,"")</f>
        <v>Ковров</v>
      </c>
      <c r="H68" s="2"/>
      <c r="I68" s="2"/>
      <c r="J68" s="2"/>
      <c r="K68" s="2"/>
      <c r="L68" s="2"/>
      <c r="M68" s="2"/>
      <c r="N68" s="2"/>
      <c r="O68" s="2">
        <f aca="true" t="shared" si="38" ref="O68:Y68">ROUND(O51+AB68,2)</f>
        <v>6583921.74</v>
      </c>
      <c r="P68" s="2">
        <f t="shared" si="38"/>
        <v>6061003.52</v>
      </c>
      <c r="Q68" s="2">
        <f t="shared" si="38"/>
        <v>51084.73</v>
      </c>
      <c r="R68" s="2">
        <f t="shared" si="38"/>
        <v>5273.82</v>
      </c>
      <c r="S68" s="2">
        <f t="shared" si="38"/>
        <v>471833.49</v>
      </c>
      <c r="T68" s="2">
        <f t="shared" si="38"/>
        <v>0</v>
      </c>
      <c r="U68" s="2">
        <f t="shared" si="38"/>
        <v>4029.34</v>
      </c>
      <c r="V68" s="2">
        <f t="shared" si="38"/>
        <v>24.11</v>
      </c>
      <c r="W68" s="2">
        <f t="shared" si="38"/>
        <v>0</v>
      </c>
      <c r="X68" s="2">
        <f t="shared" si="38"/>
        <v>388130.86</v>
      </c>
      <c r="Y68" s="2">
        <f t="shared" si="38"/>
        <v>230221.34</v>
      </c>
      <c r="Z68" s="2"/>
      <c r="AA68" s="2"/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/>
      <c r="AN68" s="2">
        <f>ROUND(AN51+AO68,2)</f>
        <v>0</v>
      </c>
      <c r="AO68" s="2">
        <v>0</v>
      </c>
      <c r="AP68" s="2">
        <f>ROUND(AP51+AQ68,2)</f>
        <v>0</v>
      </c>
      <c r="AQ68" s="2">
        <v>0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201</v>
      </c>
      <c r="F70" s="3">
        <f>Source!O68</f>
        <v>6583921.74</v>
      </c>
      <c r="G70" s="3" t="s">
        <v>119</v>
      </c>
      <c r="H70" s="3" t="s">
        <v>120</v>
      </c>
      <c r="I70" s="3"/>
      <c r="J70" s="3"/>
      <c r="K70" s="3">
        <v>201</v>
      </c>
      <c r="L70" s="3">
        <v>1</v>
      </c>
      <c r="M70" s="3">
        <v>3</v>
      </c>
      <c r="N70" s="3" t="s">
        <v>6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202</v>
      </c>
      <c r="F71" s="3">
        <f>Source!P68</f>
        <v>6061003.52</v>
      </c>
      <c r="G71" s="3" t="s">
        <v>121</v>
      </c>
      <c r="H71" s="3" t="s">
        <v>122</v>
      </c>
      <c r="I71" s="3"/>
      <c r="J71" s="3"/>
      <c r="K71" s="3">
        <v>202</v>
      </c>
      <c r="L71" s="3">
        <v>2</v>
      </c>
      <c r="M71" s="3">
        <v>3</v>
      </c>
      <c r="N71" s="3" t="s">
        <v>6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222</v>
      </c>
      <c r="F72" s="3">
        <f>Source!AN68</f>
        <v>0</v>
      </c>
      <c r="G72" s="3" t="s">
        <v>123</v>
      </c>
      <c r="H72" s="3" t="s">
        <v>124</v>
      </c>
      <c r="I72" s="3"/>
      <c r="J72" s="3"/>
      <c r="K72" s="3">
        <v>222</v>
      </c>
      <c r="L72" s="3">
        <v>3</v>
      </c>
      <c r="M72" s="3">
        <v>3</v>
      </c>
      <c r="N72" s="3" t="s">
        <v>6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216</v>
      </c>
      <c r="F73" s="3">
        <f>Source!AP68</f>
        <v>0</v>
      </c>
      <c r="G73" s="3" t="s">
        <v>125</v>
      </c>
      <c r="H73" s="3" t="s">
        <v>126</v>
      </c>
      <c r="I73" s="3"/>
      <c r="J73" s="3"/>
      <c r="K73" s="3">
        <v>216</v>
      </c>
      <c r="L73" s="3">
        <v>4</v>
      </c>
      <c r="M73" s="3">
        <v>3</v>
      </c>
      <c r="N73" s="3" t="s">
        <v>6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203</v>
      </c>
      <c r="F74" s="3">
        <f>Source!Q68</f>
        <v>51084.73</v>
      </c>
      <c r="G74" s="3" t="s">
        <v>127</v>
      </c>
      <c r="H74" s="3" t="s">
        <v>128</v>
      </c>
      <c r="I74" s="3"/>
      <c r="J74" s="3"/>
      <c r="K74" s="3">
        <v>203</v>
      </c>
      <c r="L74" s="3">
        <v>5</v>
      </c>
      <c r="M74" s="3">
        <v>3</v>
      </c>
      <c r="N74" s="3" t="s">
        <v>6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204</v>
      </c>
      <c r="F75" s="3">
        <f>Source!R68</f>
        <v>5273.82</v>
      </c>
      <c r="G75" s="3" t="s">
        <v>129</v>
      </c>
      <c r="H75" s="3" t="s">
        <v>130</v>
      </c>
      <c r="I75" s="3"/>
      <c r="J75" s="3"/>
      <c r="K75" s="3">
        <v>204</v>
      </c>
      <c r="L75" s="3">
        <v>6</v>
      </c>
      <c r="M75" s="3">
        <v>3</v>
      </c>
      <c r="N75" s="3" t="s">
        <v>6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205</v>
      </c>
      <c r="F76" s="3">
        <f>Source!S68</f>
        <v>471833.49</v>
      </c>
      <c r="G76" s="3" t="s">
        <v>131</v>
      </c>
      <c r="H76" s="3" t="s">
        <v>132</v>
      </c>
      <c r="I76" s="3"/>
      <c r="J76" s="3"/>
      <c r="K76" s="3">
        <v>205</v>
      </c>
      <c r="L76" s="3">
        <v>7</v>
      </c>
      <c r="M76" s="3">
        <v>3</v>
      </c>
      <c r="N76" s="3" t="s">
        <v>6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206</v>
      </c>
      <c r="F77" s="3">
        <f>Source!T68</f>
        <v>0</v>
      </c>
      <c r="G77" s="3" t="s">
        <v>133</v>
      </c>
      <c r="H77" s="3" t="s">
        <v>134</v>
      </c>
      <c r="I77" s="3"/>
      <c r="J77" s="3"/>
      <c r="K77" s="3">
        <v>206</v>
      </c>
      <c r="L77" s="3">
        <v>8</v>
      </c>
      <c r="M77" s="3">
        <v>3</v>
      </c>
      <c r="N77" s="3" t="s">
        <v>6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207</v>
      </c>
      <c r="F78" s="3">
        <f>Source!U68</f>
        <v>4029.34</v>
      </c>
      <c r="G78" s="3" t="s">
        <v>135</v>
      </c>
      <c r="H78" s="3" t="s">
        <v>136</v>
      </c>
      <c r="I78" s="3"/>
      <c r="J78" s="3"/>
      <c r="K78" s="3">
        <v>207</v>
      </c>
      <c r="L78" s="3">
        <v>9</v>
      </c>
      <c r="M78" s="3">
        <v>3</v>
      </c>
      <c r="N78" s="3" t="s">
        <v>6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208</v>
      </c>
      <c r="F79" s="3">
        <f>Source!V68</f>
        <v>24.11</v>
      </c>
      <c r="G79" s="3" t="s">
        <v>137</v>
      </c>
      <c r="H79" s="3" t="s">
        <v>138</v>
      </c>
      <c r="I79" s="3"/>
      <c r="J79" s="3"/>
      <c r="K79" s="3">
        <v>208</v>
      </c>
      <c r="L79" s="3">
        <v>10</v>
      </c>
      <c r="M79" s="3">
        <v>3</v>
      </c>
      <c r="N79" s="3" t="s">
        <v>6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209</v>
      </c>
      <c r="F80" s="3">
        <f>Source!W68</f>
        <v>0</v>
      </c>
      <c r="G80" s="3" t="s">
        <v>139</v>
      </c>
      <c r="H80" s="3" t="s">
        <v>140</v>
      </c>
      <c r="I80" s="3"/>
      <c r="J80" s="3"/>
      <c r="K80" s="3">
        <v>209</v>
      </c>
      <c r="L80" s="3">
        <v>11</v>
      </c>
      <c r="M80" s="3">
        <v>3</v>
      </c>
      <c r="N80" s="3" t="s">
        <v>6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210</v>
      </c>
      <c r="F81" s="3">
        <f>Source!X68</f>
        <v>388130.86</v>
      </c>
      <c r="G81" s="3" t="s">
        <v>141</v>
      </c>
      <c r="H81" s="3" t="s">
        <v>142</v>
      </c>
      <c r="I81" s="3"/>
      <c r="J81" s="3"/>
      <c r="K81" s="3">
        <v>210</v>
      </c>
      <c r="L81" s="3">
        <v>12</v>
      </c>
      <c r="M81" s="3">
        <v>3</v>
      </c>
      <c r="N81" s="3" t="s">
        <v>6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211</v>
      </c>
      <c r="F82" s="3">
        <f>Source!Y68</f>
        <v>230221.34</v>
      </c>
      <c r="G82" s="3" t="s">
        <v>143</v>
      </c>
      <c r="H82" s="3" t="s">
        <v>144</v>
      </c>
      <c r="I82" s="3"/>
      <c r="J82" s="3"/>
      <c r="K82" s="3">
        <v>211</v>
      </c>
      <c r="L82" s="3">
        <v>13</v>
      </c>
      <c r="M82" s="3">
        <v>3</v>
      </c>
      <c r="N82" s="3" t="s">
        <v>6</v>
      </c>
    </row>
    <row r="83" spans="1:14" ht="12.75">
      <c r="A83" s="3">
        <v>50</v>
      </c>
      <c r="B83" s="3">
        <v>1</v>
      </c>
      <c r="C83" s="3">
        <v>0</v>
      </c>
      <c r="D83" s="3">
        <v>2</v>
      </c>
      <c r="E83" s="3">
        <v>0</v>
      </c>
      <c r="F83" s="3">
        <f>ROUND(Source!F70+Source!F81+Source!F82,2)</f>
        <v>7202273.94</v>
      </c>
      <c r="G83" s="3" t="s">
        <v>145</v>
      </c>
      <c r="H83" s="3" t="s">
        <v>147</v>
      </c>
      <c r="I83" s="3"/>
      <c r="J83" s="3"/>
      <c r="K83" s="3">
        <v>212</v>
      </c>
      <c r="L83" s="3">
        <v>14</v>
      </c>
      <c r="M83" s="3">
        <v>0</v>
      </c>
      <c r="N83" s="3" t="s">
        <v>6</v>
      </c>
    </row>
    <row r="85" spans="1:43" ht="12.75">
      <c r="A85" s="2">
        <v>51</v>
      </c>
      <c r="B85" s="2">
        <f>B20</f>
        <v>1</v>
      </c>
      <c r="C85" s="2">
        <f>A20</f>
        <v>3</v>
      </c>
      <c r="D85" s="2">
        <f>ROW(A20)</f>
        <v>20</v>
      </c>
      <c r="E85" s="2"/>
      <c r="F85" s="2" t="str">
        <f>IF(F20&lt;&gt;"",F20,"")</f>
        <v>Новая локальная смета</v>
      </c>
      <c r="G85" s="2" t="str">
        <f>IF(G20&lt;&gt;"",G20,"")</f>
        <v>Ковров</v>
      </c>
      <c r="H85" s="2"/>
      <c r="I85" s="2"/>
      <c r="J85" s="2"/>
      <c r="K85" s="2"/>
      <c r="L85" s="2"/>
      <c r="M85" s="2"/>
      <c r="N85" s="2"/>
      <c r="O85" s="2">
        <f aca="true" t="shared" si="39" ref="O85:Y85">ROUND(O68+AB85,2)</f>
        <v>6583921.74</v>
      </c>
      <c r="P85" s="2">
        <f t="shared" si="39"/>
        <v>6061003.52</v>
      </c>
      <c r="Q85" s="2">
        <f t="shared" si="39"/>
        <v>51084.73</v>
      </c>
      <c r="R85" s="2">
        <f t="shared" si="39"/>
        <v>5273.82</v>
      </c>
      <c r="S85" s="2">
        <f t="shared" si="39"/>
        <v>471833.49</v>
      </c>
      <c r="T85" s="2">
        <f t="shared" si="39"/>
        <v>0</v>
      </c>
      <c r="U85" s="2">
        <f t="shared" si="39"/>
        <v>4029.34</v>
      </c>
      <c r="V85" s="2">
        <f t="shared" si="39"/>
        <v>24.11</v>
      </c>
      <c r="W85" s="2">
        <f t="shared" si="39"/>
        <v>0</v>
      </c>
      <c r="X85" s="2">
        <f t="shared" si="39"/>
        <v>388130.86</v>
      </c>
      <c r="Y85" s="2">
        <f t="shared" si="39"/>
        <v>230221.34</v>
      </c>
      <c r="Z85" s="2"/>
      <c r="AA85" s="2"/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/>
      <c r="AN85" s="2">
        <f>ROUND(AN68+AO85,2)</f>
        <v>0</v>
      </c>
      <c r="AO85" s="2">
        <v>0</v>
      </c>
      <c r="AP85" s="2">
        <f>ROUND(AP68+AQ85,2)</f>
        <v>0</v>
      </c>
      <c r="AQ85" s="2">
        <v>0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201</v>
      </c>
      <c r="F87" s="3">
        <f>Source!O85</f>
        <v>6583921.74</v>
      </c>
      <c r="G87" s="3" t="s">
        <v>119</v>
      </c>
      <c r="H87" s="3" t="s">
        <v>120</v>
      </c>
      <c r="I87" s="3"/>
      <c r="J87" s="3"/>
      <c r="K87" s="3">
        <v>201</v>
      </c>
      <c r="L87" s="3">
        <v>1</v>
      </c>
      <c r="M87" s="3">
        <v>3</v>
      </c>
      <c r="N87" s="3" t="s">
        <v>6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202</v>
      </c>
      <c r="F88" s="3">
        <f>Source!P85</f>
        <v>6061003.52</v>
      </c>
      <c r="G88" s="3" t="s">
        <v>121</v>
      </c>
      <c r="H88" s="3" t="s">
        <v>122</v>
      </c>
      <c r="I88" s="3"/>
      <c r="J88" s="3"/>
      <c r="K88" s="3">
        <v>202</v>
      </c>
      <c r="L88" s="3">
        <v>2</v>
      </c>
      <c r="M88" s="3">
        <v>3</v>
      </c>
      <c r="N88" s="3" t="s">
        <v>6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222</v>
      </c>
      <c r="F89" s="3">
        <f>Source!AN85</f>
        <v>0</v>
      </c>
      <c r="G89" s="3" t="s">
        <v>123</v>
      </c>
      <c r="H89" s="3" t="s">
        <v>124</v>
      </c>
      <c r="I89" s="3"/>
      <c r="J89" s="3"/>
      <c r="K89" s="3">
        <v>222</v>
      </c>
      <c r="L89" s="3">
        <v>3</v>
      </c>
      <c r="M89" s="3">
        <v>3</v>
      </c>
      <c r="N89" s="3" t="s">
        <v>6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216</v>
      </c>
      <c r="F90" s="3">
        <f>Source!AP85</f>
        <v>0</v>
      </c>
      <c r="G90" s="3" t="s">
        <v>125</v>
      </c>
      <c r="H90" s="3" t="s">
        <v>126</v>
      </c>
      <c r="I90" s="3"/>
      <c r="J90" s="3"/>
      <c r="K90" s="3">
        <v>216</v>
      </c>
      <c r="L90" s="3">
        <v>4</v>
      </c>
      <c r="M90" s="3">
        <v>3</v>
      </c>
      <c r="N90" s="3" t="s">
        <v>6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203</v>
      </c>
      <c r="F91" s="3">
        <f>Source!Q85</f>
        <v>51084.73</v>
      </c>
      <c r="G91" s="3" t="s">
        <v>127</v>
      </c>
      <c r="H91" s="3" t="s">
        <v>128</v>
      </c>
      <c r="I91" s="3"/>
      <c r="J91" s="3"/>
      <c r="K91" s="3">
        <v>203</v>
      </c>
      <c r="L91" s="3">
        <v>5</v>
      </c>
      <c r="M91" s="3">
        <v>3</v>
      </c>
      <c r="N91" s="3" t="s">
        <v>6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204</v>
      </c>
      <c r="F92" s="3">
        <f>Source!R85</f>
        <v>5273.82</v>
      </c>
      <c r="G92" s="3" t="s">
        <v>129</v>
      </c>
      <c r="H92" s="3" t="s">
        <v>130</v>
      </c>
      <c r="I92" s="3"/>
      <c r="J92" s="3"/>
      <c r="K92" s="3">
        <v>204</v>
      </c>
      <c r="L92" s="3">
        <v>6</v>
      </c>
      <c r="M92" s="3">
        <v>3</v>
      </c>
      <c r="N92" s="3" t="s">
        <v>6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205</v>
      </c>
      <c r="F93" s="3">
        <f>Source!S85</f>
        <v>471833.49</v>
      </c>
      <c r="G93" s="3" t="s">
        <v>131</v>
      </c>
      <c r="H93" s="3" t="s">
        <v>132</v>
      </c>
      <c r="I93" s="3"/>
      <c r="J93" s="3"/>
      <c r="K93" s="3">
        <v>205</v>
      </c>
      <c r="L93" s="3">
        <v>7</v>
      </c>
      <c r="M93" s="3">
        <v>3</v>
      </c>
      <c r="N93" s="3" t="s">
        <v>6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0</v>
      </c>
      <c r="F94" s="3">
        <f>Source!T85</f>
        <v>0</v>
      </c>
      <c r="G94" s="3" t="s">
        <v>133</v>
      </c>
      <c r="H94" s="3" t="s">
        <v>134</v>
      </c>
      <c r="I94" s="3"/>
      <c r="J94" s="3"/>
      <c r="K94" s="3">
        <v>206</v>
      </c>
      <c r="L94" s="3">
        <v>8</v>
      </c>
      <c r="M94" s="3">
        <v>3</v>
      </c>
      <c r="N94" s="3" t="s">
        <v>6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207</v>
      </c>
      <c r="F95" s="3">
        <f>Source!U85</f>
        <v>4029.34</v>
      </c>
      <c r="G95" s="3" t="s">
        <v>135</v>
      </c>
      <c r="H95" s="3" t="s">
        <v>136</v>
      </c>
      <c r="I95" s="3"/>
      <c r="J95" s="3"/>
      <c r="K95" s="3">
        <v>207</v>
      </c>
      <c r="L95" s="3">
        <v>9</v>
      </c>
      <c r="M95" s="3">
        <v>3</v>
      </c>
      <c r="N95" s="3" t="s">
        <v>6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208</v>
      </c>
      <c r="F96" s="3">
        <f>Source!V85</f>
        <v>24.11</v>
      </c>
      <c r="G96" s="3" t="s">
        <v>137</v>
      </c>
      <c r="H96" s="3" t="s">
        <v>138</v>
      </c>
      <c r="I96" s="3"/>
      <c r="J96" s="3"/>
      <c r="K96" s="3">
        <v>208</v>
      </c>
      <c r="L96" s="3">
        <v>10</v>
      </c>
      <c r="M96" s="3">
        <v>3</v>
      </c>
      <c r="N96" s="3" t="s">
        <v>6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209</v>
      </c>
      <c r="F97" s="3">
        <f>Source!W85</f>
        <v>0</v>
      </c>
      <c r="G97" s="3" t="s">
        <v>139</v>
      </c>
      <c r="H97" s="3" t="s">
        <v>140</v>
      </c>
      <c r="I97" s="3"/>
      <c r="J97" s="3"/>
      <c r="K97" s="3">
        <v>209</v>
      </c>
      <c r="L97" s="3">
        <v>11</v>
      </c>
      <c r="M97" s="3">
        <v>3</v>
      </c>
      <c r="N97" s="3" t="s">
        <v>6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210</v>
      </c>
      <c r="F98" s="3">
        <f>Source!X85</f>
        <v>388130.86</v>
      </c>
      <c r="G98" s="3" t="s">
        <v>141</v>
      </c>
      <c r="H98" s="3" t="s">
        <v>142</v>
      </c>
      <c r="I98" s="3"/>
      <c r="J98" s="3"/>
      <c r="K98" s="3">
        <v>210</v>
      </c>
      <c r="L98" s="3">
        <v>12</v>
      </c>
      <c r="M98" s="3">
        <v>3</v>
      </c>
      <c r="N98" s="3" t="s">
        <v>6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211</v>
      </c>
      <c r="F99" s="3">
        <f>Source!Y85</f>
        <v>230221.34</v>
      </c>
      <c r="G99" s="3" t="s">
        <v>143</v>
      </c>
      <c r="H99" s="3" t="s">
        <v>144</v>
      </c>
      <c r="I99" s="3"/>
      <c r="J99" s="3"/>
      <c r="K99" s="3">
        <v>211</v>
      </c>
      <c r="L99" s="3">
        <v>13</v>
      </c>
      <c r="M99" s="3">
        <v>3</v>
      </c>
      <c r="N99" s="3" t="s">
        <v>6</v>
      </c>
    </row>
    <row r="100" spans="1:14" ht="12.75">
      <c r="A100" s="3">
        <v>50</v>
      </c>
      <c r="B100" s="3">
        <v>1</v>
      </c>
      <c r="C100" s="3">
        <v>0</v>
      </c>
      <c r="D100" s="3">
        <v>2</v>
      </c>
      <c r="E100" s="3">
        <v>0</v>
      </c>
      <c r="F100" s="3">
        <f>ROUND(Source!F87+Source!F98+Source!F99,2)</f>
        <v>7202273.94</v>
      </c>
      <c r="G100" s="3" t="s">
        <v>145</v>
      </c>
      <c r="H100" s="3" t="s">
        <v>145</v>
      </c>
      <c r="I100" s="3"/>
      <c r="J100" s="3"/>
      <c r="K100" s="3">
        <v>212</v>
      </c>
      <c r="L100" s="3">
        <v>14</v>
      </c>
      <c r="M100" s="3">
        <v>0</v>
      </c>
      <c r="N100" s="3" t="s">
        <v>6</v>
      </c>
    </row>
    <row r="101" spans="1:14" ht="12.75">
      <c r="A101" s="3">
        <v>50</v>
      </c>
      <c r="B101" s="3">
        <v>1</v>
      </c>
      <c r="C101" s="3">
        <v>0</v>
      </c>
      <c r="D101" s="3">
        <v>2</v>
      </c>
      <c r="E101" s="3">
        <v>0</v>
      </c>
      <c r="F101" s="3">
        <f>ROUND(Source!F100*0.18,2)</f>
        <v>1296409.31</v>
      </c>
      <c r="G101" s="3" t="s">
        <v>148</v>
      </c>
      <c r="H101" s="3" t="s">
        <v>149</v>
      </c>
      <c r="I101" s="3"/>
      <c r="J101" s="3"/>
      <c r="K101" s="3">
        <v>212</v>
      </c>
      <c r="L101" s="3">
        <v>27</v>
      </c>
      <c r="M101" s="3">
        <v>0</v>
      </c>
      <c r="N101" s="3" t="s">
        <v>6</v>
      </c>
    </row>
    <row r="102" spans="1:14" ht="12.75">
      <c r="A102" s="3">
        <v>50</v>
      </c>
      <c r="B102" s="3">
        <v>1</v>
      </c>
      <c r="C102" s="3">
        <v>0</v>
      </c>
      <c r="D102" s="3">
        <v>2</v>
      </c>
      <c r="E102" s="3">
        <v>213</v>
      </c>
      <c r="F102" s="3">
        <f>ROUND(Source!F100+Source!F101,2)</f>
        <v>8498683.25</v>
      </c>
      <c r="G102" s="3" t="s">
        <v>150</v>
      </c>
      <c r="H102" s="3" t="s">
        <v>151</v>
      </c>
      <c r="I102" s="3"/>
      <c r="J102" s="3"/>
      <c r="K102" s="3">
        <v>212</v>
      </c>
      <c r="L102" s="3">
        <v>28</v>
      </c>
      <c r="M102" s="3">
        <v>0</v>
      </c>
      <c r="N102" s="3" t="s">
        <v>6</v>
      </c>
    </row>
    <row r="104" spans="1:43" ht="12.75">
      <c r="A104" s="2">
        <v>51</v>
      </c>
      <c r="B104" s="2">
        <f>B12</f>
        <v>1</v>
      </c>
      <c r="C104" s="2">
        <f>A12</f>
        <v>1</v>
      </c>
      <c r="D104" s="2">
        <f>ROW(A12)</f>
        <v>12</v>
      </c>
      <c r="E104" s="2"/>
      <c r="F104" s="2" t="str">
        <f>IF(F12&lt;&gt;"",F12,"")</f>
        <v>Новый объект</v>
      </c>
      <c r="G104" s="2" t="str">
        <f>IF(G12&lt;&gt;"",G12,"")</f>
        <v>Ковров</v>
      </c>
      <c r="H104" s="2"/>
      <c r="I104" s="2"/>
      <c r="J104" s="2"/>
      <c r="K104" s="2"/>
      <c r="L104" s="2"/>
      <c r="M104" s="2"/>
      <c r="N104" s="2"/>
      <c r="O104" s="2">
        <f aca="true" t="shared" si="40" ref="O104:Y104">ROUND(O85,2)</f>
        <v>6583921.74</v>
      </c>
      <c r="P104" s="2">
        <f t="shared" si="40"/>
        <v>6061003.52</v>
      </c>
      <c r="Q104" s="2">
        <f t="shared" si="40"/>
        <v>51084.73</v>
      </c>
      <c r="R104" s="2">
        <f t="shared" si="40"/>
        <v>5273.82</v>
      </c>
      <c r="S104" s="2">
        <f t="shared" si="40"/>
        <v>471833.49</v>
      </c>
      <c r="T104" s="2">
        <f t="shared" si="40"/>
        <v>0</v>
      </c>
      <c r="U104" s="2">
        <f t="shared" si="40"/>
        <v>4029.34</v>
      </c>
      <c r="V104" s="2">
        <f t="shared" si="40"/>
        <v>24.11</v>
      </c>
      <c r="W104" s="2">
        <f t="shared" si="40"/>
        <v>0</v>
      </c>
      <c r="X104" s="2">
        <f t="shared" si="40"/>
        <v>388130.86</v>
      </c>
      <c r="Y104" s="2">
        <f t="shared" si="40"/>
        <v>230221.34</v>
      </c>
      <c r="Z104" s="2"/>
      <c r="AA104" s="2"/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/>
      <c r="AN104" s="2">
        <f>ROUND(AN85,2)</f>
        <v>0</v>
      </c>
      <c r="AO104" s="2">
        <v>0</v>
      </c>
      <c r="AP104" s="2">
        <f>ROUND(AP85,2)</f>
        <v>0</v>
      </c>
      <c r="AQ104" s="2">
        <v>0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201</v>
      </c>
      <c r="F106" s="3">
        <f>Source!O104</f>
        <v>6583921.74</v>
      </c>
      <c r="G106" s="3" t="s">
        <v>119</v>
      </c>
      <c r="H106" s="3" t="s">
        <v>120</v>
      </c>
      <c r="I106" s="3"/>
      <c r="J106" s="3"/>
      <c r="K106" s="3">
        <v>201</v>
      </c>
      <c r="L106" s="3">
        <v>1</v>
      </c>
      <c r="M106" s="3">
        <v>3</v>
      </c>
      <c r="N106" s="3" t="s">
        <v>6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202</v>
      </c>
      <c r="F107" s="3">
        <f>Source!P104</f>
        <v>6061003.52</v>
      </c>
      <c r="G107" s="3" t="s">
        <v>121</v>
      </c>
      <c r="H107" s="3" t="s">
        <v>122</v>
      </c>
      <c r="I107" s="3"/>
      <c r="J107" s="3"/>
      <c r="K107" s="3">
        <v>202</v>
      </c>
      <c r="L107" s="3">
        <v>2</v>
      </c>
      <c r="M107" s="3">
        <v>3</v>
      </c>
      <c r="N107" s="3" t="s">
        <v>6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222</v>
      </c>
      <c r="F108" s="3">
        <f>Source!AN104</f>
        <v>0</v>
      </c>
      <c r="G108" s="3" t="s">
        <v>123</v>
      </c>
      <c r="H108" s="3" t="s">
        <v>124</v>
      </c>
      <c r="I108" s="3"/>
      <c r="J108" s="3"/>
      <c r="K108" s="3">
        <v>222</v>
      </c>
      <c r="L108" s="3">
        <v>3</v>
      </c>
      <c r="M108" s="3">
        <v>3</v>
      </c>
      <c r="N108" s="3" t="s">
        <v>6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216</v>
      </c>
      <c r="F109" s="3">
        <f>Source!AP104</f>
        <v>0</v>
      </c>
      <c r="G109" s="3" t="s">
        <v>125</v>
      </c>
      <c r="H109" s="3" t="s">
        <v>126</v>
      </c>
      <c r="I109" s="3"/>
      <c r="J109" s="3"/>
      <c r="K109" s="3">
        <v>216</v>
      </c>
      <c r="L109" s="3">
        <v>4</v>
      </c>
      <c r="M109" s="3">
        <v>3</v>
      </c>
      <c r="N109" s="3" t="s">
        <v>6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203</v>
      </c>
      <c r="F110" s="3">
        <f>Source!Q104</f>
        <v>51084.73</v>
      </c>
      <c r="G110" s="3" t="s">
        <v>127</v>
      </c>
      <c r="H110" s="3" t="s">
        <v>128</v>
      </c>
      <c r="I110" s="3"/>
      <c r="J110" s="3"/>
      <c r="K110" s="3">
        <v>203</v>
      </c>
      <c r="L110" s="3">
        <v>5</v>
      </c>
      <c r="M110" s="3">
        <v>3</v>
      </c>
      <c r="N110" s="3" t="s">
        <v>6</v>
      </c>
    </row>
    <row r="111" spans="1:14" ht="12.75">
      <c r="A111" s="3">
        <v>50</v>
      </c>
      <c r="B111" s="3">
        <v>0</v>
      </c>
      <c r="C111" s="3">
        <v>0</v>
      </c>
      <c r="D111" s="3">
        <v>1</v>
      </c>
      <c r="E111" s="3">
        <v>204</v>
      </c>
      <c r="F111" s="3">
        <f>Source!R104</f>
        <v>5273.82</v>
      </c>
      <c r="G111" s="3" t="s">
        <v>129</v>
      </c>
      <c r="H111" s="3" t="s">
        <v>130</v>
      </c>
      <c r="I111" s="3"/>
      <c r="J111" s="3"/>
      <c r="K111" s="3">
        <v>204</v>
      </c>
      <c r="L111" s="3">
        <v>6</v>
      </c>
      <c r="M111" s="3">
        <v>3</v>
      </c>
      <c r="N111" s="3" t="s">
        <v>6</v>
      </c>
    </row>
    <row r="112" spans="1:14" ht="12.75">
      <c r="A112" s="3">
        <v>50</v>
      </c>
      <c r="B112" s="3">
        <v>0</v>
      </c>
      <c r="C112" s="3">
        <v>0</v>
      </c>
      <c r="D112" s="3">
        <v>1</v>
      </c>
      <c r="E112" s="3">
        <v>205</v>
      </c>
      <c r="F112" s="3">
        <f>Source!S104</f>
        <v>471833.49</v>
      </c>
      <c r="G112" s="3" t="s">
        <v>131</v>
      </c>
      <c r="H112" s="3" t="s">
        <v>132</v>
      </c>
      <c r="I112" s="3"/>
      <c r="J112" s="3"/>
      <c r="K112" s="3">
        <v>205</v>
      </c>
      <c r="L112" s="3">
        <v>7</v>
      </c>
      <c r="M112" s="3">
        <v>3</v>
      </c>
      <c r="N112" s="3" t="s">
        <v>6</v>
      </c>
    </row>
    <row r="113" spans="1:14" ht="12.75">
      <c r="A113" s="3">
        <v>50</v>
      </c>
      <c r="B113" s="3">
        <v>0</v>
      </c>
      <c r="C113" s="3">
        <v>0</v>
      </c>
      <c r="D113" s="3">
        <v>1</v>
      </c>
      <c r="E113" s="3">
        <v>206</v>
      </c>
      <c r="F113" s="3">
        <f>Source!T104</f>
        <v>0</v>
      </c>
      <c r="G113" s="3" t="s">
        <v>133</v>
      </c>
      <c r="H113" s="3" t="s">
        <v>134</v>
      </c>
      <c r="I113" s="3"/>
      <c r="J113" s="3"/>
      <c r="K113" s="3">
        <v>206</v>
      </c>
      <c r="L113" s="3">
        <v>8</v>
      </c>
      <c r="M113" s="3">
        <v>3</v>
      </c>
      <c r="N113" s="3" t="s">
        <v>6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207</v>
      </c>
      <c r="F114" s="3">
        <f>Source!U104</f>
        <v>4029.34</v>
      </c>
      <c r="G114" s="3" t="s">
        <v>135</v>
      </c>
      <c r="H114" s="3" t="s">
        <v>136</v>
      </c>
      <c r="I114" s="3"/>
      <c r="J114" s="3"/>
      <c r="K114" s="3">
        <v>207</v>
      </c>
      <c r="L114" s="3">
        <v>9</v>
      </c>
      <c r="M114" s="3">
        <v>3</v>
      </c>
      <c r="N114" s="3" t="s">
        <v>6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208</v>
      </c>
      <c r="F115" s="3">
        <f>Source!V104</f>
        <v>24.11</v>
      </c>
      <c r="G115" s="3" t="s">
        <v>137</v>
      </c>
      <c r="H115" s="3" t="s">
        <v>138</v>
      </c>
      <c r="I115" s="3"/>
      <c r="J115" s="3"/>
      <c r="K115" s="3">
        <v>208</v>
      </c>
      <c r="L115" s="3">
        <v>10</v>
      </c>
      <c r="M115" s="3">
        <v>3</v>
      </c>
      <c r="N115" s="3" t="s">
        <v>6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209</v>
      </c>
      <c r="F116" s="3">
        <f>Source!W104</f>
        <v>0</v>
      </c>
      <c r="G116" s="3" t="s">
        <v>139</v>
      </c>
      <c r="H116" s="3" t="s">
        <v>140</v>
      </c>
      <c r="I116" s="3"/>
      <c r="J116" s="3"/>
      <c r="K116" s="3">
        <v>209</v>
      </c>
      <c r="L116" s="3">
        <v>11</v>
      </c>
      <c r="M116" s="3">
        <v>3</v>
      </c>
      <c r="N116" s="3" t="s">
        <v>6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210</v>
      </c>
      <c r="F117" s="3">
        <f>Source!X104</f>
        <v>388130.86</v>
      </c>
      <c r="G117" s="3" t="s">
        <v>141</v>
      </c>
      <c r="H117" s="3" t="s">
        <v>142</v>
      </c>
      <c r="I117" s="3"/>
      <c r="J117" s="3"/>
      <c r="K117" s="3">
        <v>210</v>
      </c>
      <c r="L117" s="3">
        <v>12</v>
      </c>
      <c r="M117" s="3">
        <v>3</v>
      </c>
      <c r="N117" s="3" t="s">
        <v>6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211</v>
      </c>
      <c r="F118" s="3">
        <f>Source!Y104</f>
        <v>230221.34</v>
      </c>
      <c r="G118" s="3" t="s">
        <v>143</v>
      </c>
      <c r="H118" s="3" t="s">
        <v>144</v>
      </c>
      <c r="I118" s="3"/>
      <c r="J118" s="3"/>
      <c r="K118" s="3">
        <v>211</v>
      </c>
      <c r="L118" s="3">
        <v>13</v>
      </c>
      <c r="M118" s="3">
        <v>3</v>
      </c>
      <c r="N118" s="3" t="s">
        <v>6</v>
      </c>
    </row>
    <row r="121" spans="1:14" ht="12.75">
      <c r="A121">
        <v>70</v>
      </c>
      <c r="B121">
        <v>1</v>
      </c>
      <c r="D121">
        <v>0</v>
      </c>
      <c r="E121" t="s">
        <v>152</v>
      </c>
      <c r="F121" t="s">
        <v>153</v>
      </c>
      <c r="G121">
        <v>1</v>
      </c>
      <c r="H121">
        <v>1</v>
      </c>
      <c r="I121" t="s">
        <v>154</v>
      </c>
      <c r="J121">
        <v>0</v>
      </c>
      <c r="K121">
        <v>0</v>
      </c>
      <c r="N121">
        <v>0</v>
      </c>
    </row>
    <row r="122" spans="1:14" ht="12.75">
      <c r="A122">
        <v>70</v>
      </c>
      <c r="B122">
        <v>1</v>
      </c>
      <c r="D122">
        <v>0</v>
      </c>
      <c r="E122" t="s">
        <v>155</v>
      </c>
      <c r="F122" t="s">
        <v>156</v>
      </c>
      <c r="G122">
        <v>1</v>
      </c>
      <c r="H122">
        <v>1</v>
      </c>
      <c r="I122" t="s">
        <v>157</v>
      </c>
      <c r="J122">
        <v>0</v>
      </c>
      <c r="K122">
        <v>0</v>
      </c>
      <c r="N122">
        <v>0</v>
      </c>
    </row>
    <row r="123" spans="1:14" ht="12.75">
      <c r="A123">
        <v>70</v>
      </c>
      <c r="B123">
        <v>1</v>
      </c>
      <c r="D123">
        <v>0</v>
      </c>
      <c r="E123" t="s">
        <v>158</v>
      </c>
      <c r="F123" t="s">
        <v>159</v>
      </c>
      <c r="G123">
        <v>1</v>
      </c>
      <c r="H123">
        <v>0</v>
      </c>
      <c r="I123" t="s">
        <v>160</v>
      </c>
      <c r="J123">
        <v>0</v>
      </c>
      <c r="K123">
        <v>0</v>
      </c>
      <c r="N123">
        <v>0</v>
      </c>
    </row>
    <row r="124" spans="1:14" ht="12.75">
      <c r="A124">
        <v>70</v>
      </c>
      <c r="B124">
        <v>1</v>
      </c>
      <c r="D124">
        <v>0</v>
      </c>
      <c r="E124" t="s">
        <v>161</v>
      </c>
      <c r="F124" t="s">
        <v>162</v>
      </c>
      <c r="G124">
        <v>0.85</v>
      </c>
      <c r="H124">
        <v>0.85</v>
      </c>
      <c r="I124" t="s">
        <v>163</v>
      </c>
      <c r="J124">
        <v>0</v>
      </c>
      <c r="K124">
        <v>0</v>
      </c>
      <c r="N124">
        <v>0</v>
      </c>
    </row>
    <row r="125" spans="1:14" ht="12.75">
      <c r="A125">
        <v>70</v>
      </c>
      <c r="B125">
        <v>1</v>
      </c>
      <c r="D125">
        <v>0</v>
      </c>
      <c r="E125" t="s">
        <v>164</v>
      </c>
      <c r="F125" t="s">
        <v>165</v>
      </c>
      <c r="G125">
        <v>0.8</v>
      </c>
      <c r="H125">
        <v>0.8</v>
      </c>
      <c r="I125" t="s">
        <v>166</v>
      </c>
      <c r="J125">
        <v>0</v>
      </c>
      <c r="K125">
        <v>0</v>
      </c>
      <c r="N125">
        <v>0</v>
      </c>
    </row>
    <row r="126" spans="1:14" ht="12.75">
      <c r="A126">
        <v>70</v>
      </c>
      <c r="B126">
        <v>1</v>
      </c>
      <c r="D126">
        <v>0</v>
      </c>
      <c r="E126" t="s">
        <v>167</v>
      </c>
      <c r="F126" t="s">
        <v>168</v>
      </c>
      <c r="G126">
        <v>1</v>
      </c>
      <c r="H126">
        <v>1</v>
      </c>
      <c r="I126" t="s">
        <v>169</v>
      </c>
      <c r="J126">
        <v>0</v>
      </c>
      <c r="K126">
        <v>0</v>
      </c>
      <c r="N126">
        <v>0</v>
      </c>
    </row>
    <row r="127" spans="1:14" ht="12.75">
      <c r="A127">
        <v>70</v>
      </c>
      <c r="B127">
        <v>1</v>
      </c>
      <c r="D127">
        <v>0</v>
      </c>
      <c r="E127" t="s">
        <v>170</v>
      </c>
      <c r="F127" t="s">
        <v>171</v>
      </c>
      <c r="G127">
        <v>0</v>
      </c>
      <c r="H127">
        <v>0</v>
      </c>
      <c r="I127" t="s">
        <v>172</v>
      </c>
      <c r="J127">
        <v>0</v>
      </c>
      <c r="K127">
        <v>0</v>
      </c>
      <c r="N127">
        <v>0</v>
      </c>
    </row>
    <row r="128" spans="1:14" ht="12.75">
      <c r="A128">
        <v>70</v>
      </c>
      <c r="B128">
        <v>1</v>
      </c>
      <c r="D128">
        <v>0</v>
      </c>
      <c r="E128" t="s">
        <v>173</v>
      </c>
      <c r="F128" t="s">
        <v>174</v>
      </c>
      <c r="G128">
        <v>0</v>
      </c>
      <c r="H128">
        <v>0</v>
      </c>
      <c r="I128" t="s">
        <v>175</v>
      </c>
      <c r="J128">
        <v>0</v>
      </c>
      <c r="K128">
        <v>0</v>
      </c>
      <c r="N128">
        <v>0</v>
      </c>
    </row>
    <row r="129" spans="1:14" ht="12.75">
      <c r="A129">
        <v>70</v>
      </c>
      <c r="B129">
        <v>1</v>
      </c>
      <c r="D129">
        <v>0</v>
      </c>
      <c r="E129" t="s">
        <v>176</v>
      </c>
      <c r="F129" t="s">
        <v>177</v>
      </c>
      <c r="G129">
        <v>1</v>
      </c>
      <c r="H129">
        <v>1</v>
      </c>
      <c r="I129" t="s">
        <v>178</v>
      </c>
      <c r="J129">
        <v>0</v>
      </c>
      <c r="K129">
        <v>0</v>
      </c>
      <c r="N129">
        <v>0</v>
      </c>
    </row>
    <row r="130" spans="1:14" ht="12.75">
      <c r="A130">
        <v>70</v>
      </c>
      <c r="B130">
        <v>1</v>
      </c>
      <c r="D130">
        <v>0</v>
      </c>
      <c r="E130" t="s">
        <v>179</v>
      </c>
      <c r="F130" t="s">
        <v>180</v>
      </c>
      <c r="G130">
        <v>0</v>
      </c>
      <c r="H130">
        <v>0</v>
      </c>
      <c r="I130" t="s">
        <v>181</v>
      </c>
      <c r="J130">
        <v>0</v>
      </c>
      <c r="K130">
        <v>0</v>
      </c>
      <c r="N130">
        <v>0</v>
      </c>
    </row>
    <row r="131" spans="1:14" ht="12.75">
      <c r="A131">
        <v>70</v>
      </c>
      <c r="B131">
        <v>1</v>
      </c>
      <c r="D131">
        <v>1</v>
      </c>
      <c r="E131" t="s">
        <v>182</v>
      </c>
      <c r="F131" t="s">
        <v>183</v>
      </c>
      <c r="G131">
        <v>1</v>
      </c>
      <c r="H131">
        <v>0</v>
      </c>
      <c r="I131" t="s">
        <v>184</v>
      </c>
      <c r="J131">
        <v>0</v>
      </c>
      <c r="K131">
        <v>0</v>
      </c>
      <c r="N131">
        <v>0</v>
      </c>
    </row>
    <row r="132" spans="1:14" ht="12.75">
      <c r="A132">
        <v>70</v>
      </c>
      <c r="B132">
        <v>1</v>
      </c>
      <c r="D132">
        <v>0</v>
      </c>
      <c r="E132" t="s">
        <v>185</v>
      </c>
      <c r="F132" t="s">
        <v>186</v>
      </c>
      <c r="G132">
        <v>0</v>
      </c>
      <c r="H132">
        <v>0</v>
      </c>
      <c r="I132" t="s">
        <v>187</v>
      </c>
      <c r="J132">
        <v>0</v>
      </c>
      <c r="K132">
        <v>0</v>
      </c>
      <c r="N132">
        <v>0</v>
      </c>
    </row>
    <row r="133" spans="1:14" ht="12.75">
      <c r="A133">
        <v>70</v>
      </c>
      <c r="B133">
        <v>1</v>
      </c>
      <c r="D133">
        <v>0</v>
      </c>
      <c r="E133" t="s">
        <v>188</v>
      </c>
      <c r="F133" t="s">
        <v>189</v>
      </c>
      <c r="G133">
        <v>0.94</v>
      </c>
      <c r="H133">
        <v>0.94</v>
      </c>
      <c r="I133" t="s">
        <v>190</v>
      </c>
      <c r="J133">
        <v>0</v>
      </c>
      <c r="K133">
        <v>0</v>
      </c>
      <c r="N133">
        <v>0</v>
      </c>
    </row>
    <row r="134" spans="1:14" ht="12.75">
      <c r="A134">
        <v>70</v>
      </c>
      <c r="B134">
        <v>1</v>
      </c>
      <c r="D134">
        <v>0</v>
      </c>
      <c r="E134" t="s">
        <v>191</v>
      </c>
      <c r="F134" t="s">
        <v>192</v>
      </c>
      <c r="G134">
        <v>0</v>
      </c>
      <c r="H134">
        <v>0</v>
      </c>
      <c r="I134" t="s">
        <v>193</v>
      </c>
      <c r="J134">
        <v>0</v>
      </c>
      <c r="K134">
        <v>0</v>
      </c>
      <c r="N134">
        <v>0</v>
      </c>
    </row>
    <row r="135" spans="1:14" ht="12.75">
      <c r="A135">
        <v>70</v>
      </c>
      <c r="B135">
        <v>1</v>
      </c>
      <c r="D135">
        <v>0</v>
      </c>
      <c r="E135" t="s">
        <v>194</v>
      </c>
      <c r="F135" t="s">
        <v>195</v>
      </c>
      <c r="G135">
        <v>0</v>
      </c>
      <c r="H135">
        <v>0</v>
      </c>
      <c r="I135" t="s">
        <v>196</v>
      </c>
      <c r="J135">
        <v>0</v>
      </c>
      <c r="K135">
        <v>0</v>
      </c>
      <c r="N135">
        <v>0</v>
      </c>
    </row>
    <row r="136" spans="1:14" ht="12.75">
      <c r="A136">
        <v>70</v>
      </c>
      <c r="B136">
        <v>1</v>
      </c>
      <c r="D136">
        <v>0</v>
      </c>
      <c r="E136" t="s">
        <v>197</v>
      </c>
      <c r="F136" t="s">
        <v>198</v>
      </c>
      <c r="G136">
        <v>0</v>
      </c>
      <c r="H136">
        <v>0</v>
      </c>
      <c r="I136" t="s">
        <v>199</v>
      </c>
      <c r="J136">
        <v>0</v>
      </c>
      <c r="K136">
        <v>0</v>
      </c>
      <c r="N136">
        <v>0</v>
      </c>
    </row>
    <row r="139" spans="1:5" ht="12.75">
      <c r="A139">
        <v>65</v>
      </c>
      <c r="C139">
        <v>1</v>
      </c>
      <c r="D139">
        <v>0</v>
      </c>
      <c r="E13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7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ROW(Source!A32)</f>
        <v>32</v>
      </c>
      <c r="B1">
        <v>23635130</v>
      </c>
      <c r="C1">
        <v>23635129</v>
      </c>
      <c r="D1">
        <v>21071197</v>
      </c>
      <c r="E1">
        <v>1</v>
      </c>
      <c r="F1">
        <v>1</v>
      </c>
      <c r="G1">
        <v>1</v>
      </c>
      <c r="H1">
        <v>1</v>
      </c>
      <c r="I1" t="s">
        <v>200</v>
      </c>
      <c r="K1" t="s">
        <v>201</v>
      </c>
      <c r="L1">
        <v>1369</v>
      </c>
      <c r="N1">
        <v>1013</v>
      </c>
      <c r="O1" t="s">
        <v>202</v>
      </c>
      <c r="P1" t="s">
        <v>202</v>
      </c>
      <c r="Q1">
        <v>1</v>
      </c>
      <c r="Y1">
        <v>1.176</v>
      </c>
      <c r="AA1">
        <v>0</v>
      </c>
      <c r="AB1">
        <v>0</v>
      </c>
      <c r="AC1">
        <v>0</v>
      </c>
      <c r="AD1">
        <v>9.76</v>
      </c>
      <c r="AN1">
        <v>0</v>
      </c>
      <c r="AO1">
        <v>1</v>
      </c>
      <c r="AP1">
        <v>1</v>
      </c>
      <c r="AQ1">
        <v>0</v>
      </c>
      <c r="AR1">
        <v>0</v>
      </c>
      <c r="AT1">
        <v>2.94</v>
      </c>
      <c r="AU1" t="s">
        <v>30</v>
      </c>
      <c r="AV1">
        <v>1</v>
      </c>
      <c r="AW1">
        <v>2</v>
      </c>
      <c r="AX1">
        <v>23635139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ROW(Source!A32)</f>
        <v>32</v>
      </c>
      <c r="B2">
        <v>23635131</v>
      </c>
      <c r="C2">
        <v>23635129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37</v>
      </c>
      <c r="K2" t="s">
        <v>203</v>
      </c>
      <c r="L2">
        <v>608254</v>
      </c>
      <c r="N2">
        <v>1013</v>
      </c>
      <c r="O2" t="s">
        <v>204</v>
      </c>
      <c r="P2" t="s">
        <v>204</v>
      </c>
      <c r="Q2">
        <v>1</v>
      </c>
      <c r="Y2">
        <v>0.004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0.01</v>
      </c>
      <c r="AU2" t="s">
        <v>30</v>
      </c>
      <c r="AV2">
        <v>2</v>
      </c>
      <c r="AW2">
        <v>2</v>
      </c>
      <c r="AX2">
        <v>23635140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ROW(Source!A32)</f>
        <v>32</v>
      </c>
      <c r="B3">
        <v>23635132</v>
      </c>
      <c r="C3">
        <v>23635129</v>
      </c>
      <c r="D3">
        <v>21011724</v>
      </c>
      <c r="E3">
        <v>1</v>
      </c>
      <c r="F3">
        <v>1</v>
      </c>
      <c r="G3">
        <v>1</v>
      </c>
      <c r="H3">
        <v>2</v>
      </c>
      <c r="I3" t="s">
        <v>205</v>
      </c>
      <c r="J3" t="s">
        <v>206</v>
      </c>
      <c r="K3" t="s">
        <v>207</v>
      </c>
      <c r="L3">
        <v>1368</v>
      </c>
      <c r="N3">
        <v>1011</v>
      </c>
      <c r="O3" t="s">
        <v>208</v>
      </c>
      <c r="P3" t="s">
        <v>208</v>
      </c>
      <c r="Q3">
        <v>1</v>
      </c>
      <c r="Y3">
        <v>0.004</v>
      </c>
      <c r="AA3">
        <v>0</v>
      </c>
      <c r="AB3">
        <v>86.4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0.01</v>
      </c>
      <c r="AU3" t="s">
        <v>30</v>
      </c>
      <c r="AV3">
        <v>0</v>
      </c>
      <c r="AW3">
        <v>2</v>
      </c>
      <c r="AX3">
        <v>23635141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ROW(Source!A32)</f>
        <v>32</v>
      </c>
      <c r="B4">
        <v>23635133</v>
      </c>
      <c r="C4">
        <v>23635129</v>
      </c>
      <c r="D4">
        <v>21012008</v>
      </c>
      <c r="E4">
        <v>1</v>
      </c>
      <c r="F4">
        <v>1</v>
      </c>
      <c r="G4">
        <v>1</v>
      </c>
      <c r="H4">
        <v>2</v>
      </c>
      <c r="I4" t="s">
        <v>209</v>
      </c>
      <c r="J4" t="s">
        <v>210</v>
      </c>
      <c r="K4" t="s">
        <v>211</v>
      </c>
      <c r="L4">
        <v>1368</v>
      </c>
      <c r="N4">
        <v>1011</v>
      </c>
      <c r="O4" t="s">
        <v>208</v>
      </c>
      <c r="P4" t="s">
        <v>208</v>
      </c>
      <c r="Q4">
        <v>1</v>
      </c>
      <c r="Y4">
        <v>0.6400000000000001</v>
      </c>
      <c r="AA4">
        <v>0</v>
      </c>
      <c r="AB4">
        <v>8.1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1.6</v>
      </c>
      <c r="AU4" t="s">
        <v>30</v>
      </c>
      <c r="AV4">
        <v>0</v>
      </c>
      <c r="AW4">
        <v>2</v>
      </c>
      <c r="AX4">
        <v>23635142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ROW(Source!A32)</f>
        <v>32</v>
      </c>
      <c r="B5">
        <v>23635134</v>
      </c>
      <c r="C5">
        <v>23635129</v>
      </c>
      <c r="D5">
        <v>21013544</v>
      </c>
      <c r="E5">
        <v>1</v>
      </c>
      <c r="F5">
        <v>1</v>
      </c>
      <c r="G5">
        <v>1</v>
      </c>
      <c r="H5">
        <v>2</v>
      </c>
      <c r="I5" t="s">
        <v>212</v>
      </c>
      <c r="J5" t="s">
        <v>213</v>
      </c>
      <c r="K5" t="s">
        <v>214</v>
      </c>
      <c r="L5">
        <v>1368</v>
      </c>
      <c r="N5">
        <v>1011</v>
      </c>
      <c r="O5" t="s">
        <v>208</v>
      </c>
      <c r="P5" t="s">
        <v>208</v>
      </c>
      <c r="Q5">
        <v>1</v>
      </c>
      <c r="Y5">
        <v>0.004</v>
      </c>
      <c r="AA5">
        <v>0</v>
      </c>
      <c r="AB5">
        <v>87.17</v>
      </c>
      <c r="AC5">
        <v>11.6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0.01</v>
      </c>
      <c r="AU5" t="s">
        <v>30</v>
      </c>
      <c r="AV5">
        <v>0</v>
      </c>
      <c r="AW5">
        <v>2</v>
      </c>
      <c r="AX5">
        <v>23635143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ROW(Source!A32)</f>
        <v>32</v>
      </c>
      <c r="B6">
        <v>23635135</v>
      </c>
      <c r="C6">
        <v>23635129</v>
      </c>
      <c r="D6">
        <v>21014523</v>
      </c>
      <c r="E6">
        <v>1</v>
      </c>
      <c r="F6">
        <v>1</v>
      </c>
      <c r="G6">
        <v>1</v>
      </c>
      <c r="H6">
        <v>3</v>
      </c>
      <c r="I6" t="s">
        <v>215</v>
      </c>
      <c r="J6" t="s">
        <v>216</v>
      </c>
      <c r="K6" t="s">
        <v>217</v>
      </c>
      <c r="L6">
        <v>1348</v>
      </c>
      <c r="N6">
        <v>1009</v>
      </c>
      <c r="O6" t="s">
        <v>109</v>
      </c>
      <c r="P6" t="s">
        <v>109</v>
      </c>
      <c r="Q6">
        <v>1000</v>
      </c>
      <c r="Y6">
        <v>0</v>
      </c>
      <c r="AA6">
        <v>30029.99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6E-05</v>
      </c>
      <c r="AU6" t="s">
        <v>29</v>
      </c>
      <c r="AV6">
        <v>0</v>
      </c>
      <c r="AW6">
        <v>2</v>
      </c>
      <c r="AX6">
        <v>23635144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ROW(Source!A32)</f>
        <v>32</v>
      </c>
      <c r="B7">
        <v>23635136</v>
      </c>
      <c r="C7">
        <v>23635129</v>
      </c>
      <c r="D7">
        <v>21015184</v>
      </c>
      <c r="E7">
        <v>1</v>
      </c>
      <c r="F7">
        <v>1</v>
      </c>
      <c r="G7">
        <v>1</v>
      </c>
      <c r="H7">
        <v>3</v>
      </c>
      <c r="I7" t="s">
        <v>218</v>
      </c>
      <c r="J7" t="s">
        <v>219</v>
      </c>
      <c r="K7" t="s">
        <v>220</v>
      </c>
      <c r="L7">
        <v>1348</v>
      </c>
      <c r="N7">
        <v>1009</v>
      </c>
      <c r="O7" t="s">
        <v>109</v>
      </c>
      <c r="P7" t="s">
        <v>109</v>
      </c>
      <c r="Q7">
        <v>1000</v>
      </c>
      <c r="Y7">
        <v>0</v>
      </c>
      <c r="AA7">
        <v>1836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0.00016</v>
      </c>
      <c r="AU7" t="s">
        <v>29</v>
      </c>
      <c r="AV7">
        <v>0</v>
      </c>
      <c r="AW7">
        <v>2</v>
      </c>
      <c r="AX7">
        <v>23635145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ROW(Source!A32)</f>
        <v>32</v>
      </c>
      <c r="B8">
        <v>23635137</v>
      </c>
      <c r="C8">
        <v>23635129</v>
      </c>
      <c r="D8">
        <v>21015243</v>
      </c>
      <c r="E8">
        <v>1</v>
      </c>
      <c r="F8">
        <v>1</v>
      </c>
      <c r="G8">
        <v>1</v>
      </c>
      <c r="H8">
        <v>3</v>
      </c>
      <c r="I8" t="s">
        <v>221</v>
      </c>
      <c r="J8" t="s">
        <v>222</v>
      </c>
      <c r="K8" t="s">
        <v>223</v>
      </c>
      <c r="L8">
        <v>1348</v>
      </c>
      <c r="N8">
        <v>1009</v>
      </c>
      <c r="O8" t="s">
        <v>109</v>
      </c>
      <c r="P8" t="s">
        <v>109</v>
      </c>
      <c r="Q8">
        <v>1000</v>
      </c>
      <c r="Y8">
        <v>0</v>
      </c>
      <c r="AA8">
        <v>10362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0.00019</v>
      </c>
      <c r="AU8" t="s">
        <v>29</v>
      </c>
      <c r="AV8">
        <v>0</v>
      </c>
      <c r="AW8">
        <v>2</v>
      </c>
      <c r="AX8">
        <v>23635146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ROW(Source!A32)</f>
        <v>32</v>
      </c>
      <c r="B9">
        <v>23635138</v>
      </c>
      <c r="C9">
        <v>23635129</v>
      </c>
      <c r="D9">
        <v>21027681</v>
      </c>
      <c r="E9">
        <v>1</v>
      </c>
      <c r="F9">
        <v>1</v>
      </c>
      <c r="G9">
        <v>1</v>
      </c>
      <c r="H9">
        <v>3</v>
      </c>
      <c r="I9" t="s">
        <v>224</v>
      </c>
      <c r="J9" t="s">
        <v>225</v>
      </c>
      <c r="K9" t="s">
        <v>226</v>
      </c>
      <c r="L9">
        <v>1354</v>
      </c>
      <c r="N9">
        <v>1010</v>
      </c>
      <c r="O9" t="s">
        <v>27</v>
      </c>
      <c r="P9" t="s">
        <v>27</v>
      </c>
      <c r="Q9">
        <v>1</v>
      </c>
      <c r="Y9">
        <v>0</v>
      </c>
      <c r="AA9">
        <v>344.01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1</v>
      </c>
      <c r="AU9" t="s">
        <v>29</v>
      </c>
      <c r="AV9">
        <v>0</v>
      </c>
      <c r="AW9">
        <v>2</v>
      </c>
      <c r="AX9">
        <v>23635147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ROW(Source!A33)</f>
        <v>33</v>
      </c>
      <c r="B10">
        <v>23635149</v>
      </c>
      <c r="C10">
        <v>23635148</v>
      </c>
      <c r="D10">
        <v>21071197</v>
      </c>
      <c r="E10">
        <v>1</v>
      </c>
      <c r="F10">
        <v>1</v>
      </c>
      <c r="G10">
        <v>1</v>
      </c>
      <c r="H10">
        <v>1</v>
      </c>
      <c r="I10" t="s">
        <v>200</v>
      </c>
      <c r="K10" t="s">
        <v>201</v>
      </c>
      <c r="L10">
        <v>1369</v>
      </c>
      <c r="N10">
        <v>1013</v>
      </c>
      <c r="O10" t="s">
        <v>202</v>
      </c>
      <c r="P10" t="s">
        <v>202</v>
      </c>
      <c r="Q10">
        <v>1</v>
      </c>
      <c r="Y10">
        <v>2.94</v>
      </c>
      <c r="AA10">
        <v>0</v>
      </c>
      <c r="AB10">
        <v>0</v>
      </c>
      <c r="AC10">
        <v>0</v>
      </c>
      <c r="AD10">
        <v>9.76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2.94</v>
      </c>
      <c r="AV10">
        <v>1</v>
      </c>
      <c r="AW10">
        <v>2</v>
      </c>
      <c r="AX10">
        <v>23635158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ROW(Source!A33)</f>
        <v>33</v>
      </c>
      <c r="B11">
        <v>23635150</v>
      </c>
      <c r="C11">
        <v>23635148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37</v>
      </c>
      <c r="K11" t="s">
        <v>203</v>
      </c>
      <c r="L11">
        <v>608254</v>
      </c>
      <c r="N11">
        <v>1013</v>
      </c>
      <c r="O11" t="s">
        <v>204</v>
      </c>
      <c r="P11" t="s">
        <v>204</v>
      </c>
      <c r="Q11">
        <v>1</v>
      </c>
      <c r="Y11">
        <v>0.01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0.01</v>
      </c>
      <c r="AV11">
        <v>2</v>
      </c>
      <c r="AW11">
        <v>2</v>
      </c>
      <c r="AX11">
        <v>23635159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ROW(Source!A33)</f>
        <v>33</v>
      </c>
      <c r="B12">
        <v>23635151</v>
      </c>
      <c r="C12">
        <v>23635148</v>
      </c>
      <c r="D12">
        <v>21011724</v>
      </c>
      <c r="E12">
        <v>1</v>
      </c>
      <c r="F12">
        <v>1</v>
      </c>
      <c r="G12">
        <v>1</v>
      </c>
      <c r="H12">
        <v>2</v>
      </c>
      <c r="I12" t="s">
        <v>205</v>
      </c>
      <c r="J12" t="s">
        <v>206</v>
      </c>
      <c r="K12" t="s">
        <v>207</v>
      </c>
      <c r="L12">
        <v>1368</v>
      </c>
      <c r="N12">
        <v>1011</v>
      </c>
      <c r="O12" t="s">
        <v>208</v>
      </c>
      <c r="P12" t="s">
        <v>208</v>
      </c>
      <c r="Q12">
        <v>1</v>
      </c>
      <c r="Y12">
        <v>0.01</v>
      </c>
      <c r="AA12">
        <v>0</v>
      </c>
      <c r="AB12">
        <v>86.4</v>
      </c>
      <c r="AC12">
        <v>13.5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0.01</v>
      </c>
      <c r="AV12">
        <v>0</v>
      </c>
      <c r="AW12">
        <v>2</v>
      </c>
      <c r="AX12">
        <v>23635160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ROW(Source!A33)</f>
        <v>33</v>
      </c>
      <c r="B13">
        <v>23635152</v>
      </c>
      <c r="C13">
        <v>23635148</v>
      </c>
      <c r="D13">
        <v>21012008</v>
      </c>
      <c r="E13">
        <v>1</v>
      </c>
      <c r="F13">
        <v>1</v>
      </c>
      <c r="G13">
        <v>1</v>
      </c>
      <c r="H13">
        <v>2</v>
      </c>
      <c r="I13" t="s">
        <v>209</v>
      </c>
      <c r="J13" t="s">
        <v>210</v>
      </c>
      <c r="K13" t="s">
        <v>211</v>
      </c>
      <c r="L13">
        <v>1368</v>
      </c>
      <c r="N13">
        <v>1011</v>
      </c>
      <c r="O13" t="s">
        <v>208</v>
      </c>
      <c r="P13" t="s">
        <v>208</v>
      </c>
      <c r="Q13">
        <v>1</v>
      </c>
      <c r="Y13">
        <v>1.6</v>
      </c>
      <c r="AA13">
        <v>0</v>
      </c>
      <c r="AB13">
        <v>8.1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1.6</v>
      </c>
      <c r="AV13">
        <v>0</v>
      </c>
      <c r="AW13">
        <v>2</v>
      </c>
      <c r="AX13">
        <v>23635161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ROW(Source!A33)</f>
        <v>33</v>
      </c>
      <c r="B14">
        <v>23635153</v>
      </c>
      <c r="C14">
        <v>23635148</v>
      </c>
      <c r="D14">
        <v>21013544</v>
      </c>
      <c r="E14">
        <v>1</v>
      </c>
      <c r="F14">
        <v>1</v>
      </c>
      <c r="G14">
        <v>1</v>
      </c>
      <c r="H14">
        <v>2</v>
      </c>
      <c r="I14" t="s">
        <v>212</v>
      </c>
      <c r="J14" t="s">
        <v>213</v>
      </c>
      <c r="K14" t="s">
        <v>214</v>
      </c>
      <c r="L14">
        <v>1368</v>
      </c>
      <c r="N14">
        <v>1011</v>
      </c>
      <c r="O14" t="s">
        <v>208</v>
      </c>
      <c r="P14" t="s">
        <v>208</v>
      </c>
      <c r="Q14">
        <v>1</v>
      </c>
      <c r="Y14">
        <v>0.01</v>
      </c>
      <c r="AA14">
        <v>0</v>
      </c>
      <c r="AB14">
        <v>87.17</v>
      </c>
      <c r="AC14">
        <v>11.6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0.01</v>
      </c>
      <c r="AV14">
        <v>0</v>
      </c>
      <c r="AW14">
        <v>2</v>
      </c>
      <c r="AX14">
        <v>23635162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ROW(Source!A33)</f>
        <v>33</v>
      </c>
      <c r="B15">
        <v>23635154</v>
      </c>
      <c r="C15">
        <v>23635148</v>
      </c>
      <c r="D15">
        <v>21014523</v>
      </c>
      <c r="E15">
        <v>1</v>
      </c>
      <c r="F15">
        <v>1</v>
      </c>
      <c r="G15">
        <v>1</v>
      </c>
      <c r="H15">
        <v>3</v>
      </c>
      <c r="I15" t="s">
        <v>215</v>
      </c>
      <c r="J15" t="s">
        <v>216</v>
      </c>
      <c r="K15" t="s">
        <v>217</v>
      </c>
      <c r="L15">
        <v>1348</v>
      </c>
      <c r="N15">
        <v>1009</v>
      </c>
      <c r="O15" t="s">
        <v>109</v>
      </c>
      <c r="P15" t="s">
        <v>109</v>
      </c>
      <c r="Q15">
        <v>1000</v>
      </c>
      <c r="Y15">
        <v>0</v>
      </c>
      <c r="AA15">
        <v>30029.99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6E-05</v>
      </c>
      <c r="AU15" t="s">
        <v>29</v>
      </c>
      <c r="AV15">
        <v>0</v>
      </c>
      <c r="AW15">
        <v>2</v>
      </c>
      <c r="AX15">
        <v>23635163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ROW(Source!A33)</f>
        <v>33</v>
      </c>
      <c r="B16">
        <v>23635155</v>
      </c>
      <c r="C16">
        <v>23635148</v>
      </c>
      <c r="D16">
        <v>21015184</v>
      </c>
      <c r="E16">
        <v>1</v>
      </c>
      <c r="F16">
        <v>1</v>
      </c>
      <c r="G16">
        <v>1</v>
      </c>
      <c r="H16">
        <v>3</v>
      </c>
      <c r="I16" t="s">
        <v>218</v>
      </c>
      <c r="J16" t="s">
        <v>219</v>
      </c>
      <c r="K16" t="s">
        <v>220</v>
      </c>
      <c r="L16">
        <v>1348</v>
      </c>
      <c r="N16">
        <v>1009</v>
      </c>
      <c r="O16" t="s">
        <v>109</v>
      </c>
      <c r="P16" t="s">
        <v>109</v>
      </c>
      <c r="Q16">
        <v>1000</v>
      </c>
      <c r="Y16">
        <v>0</v>
      </c>
      <c r="AA16">
        <v>1836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0.00016</v>
      </c>
      <c r="AU16" t="s">
        <v>29</v>
      </c>
      <c r="AV16">
        <v>0</v>
      </c>
      <c r="AW16">
        <v>2</v>
      </c>
      <c r="AX16">
        <v>23635164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ROW(Source!A33)</f>
        <v>33</v>
      </c>
      <c r="B17">
        <v>23635156</v>
      </c>
      <c r="C17">
        <v>23635148</v>
      </c>
      <c r="D17">
        <v>21015243</v>
      </c>
      <c r="E17">
        <v>1</v>
      </c>
      <c r="F17">
        <v>1</v>
      </c>
      <c r="G17">
        <v>1</v>
      </c>
      <c r="H17">
        <v>3</v>
      </c>
      <c r="I17" t="s">
        <v>221</v>
      </c>
      <c r="J17" t="s">
        <v>222</v>
      </c>
      <c r="K17" t="s">
        <v>223</v>
      </c>
      <c r="L17">
        <v>1348</v>
      </c>
      <c r="N17">
        <v>1009</v>
      </c>
      <c r="O17" t="s">
        <v>109</v>
      </c>
      <c r="P17" t="s">
        <v>109</v>
      </c>
      <c r="Q17">
        <v>1000</v>
      </c>
      <c r="Y17">
        <v>0</v>
      </c>
      <c r="AA17">
        <v>10362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0.00019</v>
      </c>
      <c r="AU17" t="s">
        <v>29</v>
      </c>
      <c r="AV17">
        <v>0</v>
      </c>
      <c r="AW17">
        <v>2</v>
      </c>
      <c r="AX17">
        <v>23635165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ROW(Source!A33)</f>
        <v>33</v>
      </c>
      <c r="B18">
        <v>23635157</v>
      </c>
      <c r="C18">
        <v>23635148</v>
      </c>
      <c r="D18">
        <v>21027681</v>
      </c>
      <c r="E18">
        <v>1</v>
      </c>
      <c r="F18">
        <v>1</v>
      </c>
      <c r="G18">
        <v>1</v>
      </c>
      <c r="H18">
        <v>3</v>
      </c>
      <c r="I18" t="s">
        <v>224</v>
      </c>
      <c r="J18" t="s">
        <v>225</v>
      </c>
      <c r="K18" t="s">
        <v>226</v>
      </c>
      <c r="L18">
        <v>1354</v>
      </c>
      <c r="N18">
        <v>1010</v>
      </c>
      <c r="O18" t="s">
        <v>27</v>
      </c>
      <c r="P18" t="s">
        <v>27</v>
      </c>
      <c r="Q18">
        <v>1</v>
      </c>
      <c r="Y18">
        <v>0</v>
      </c>
      <c r="AA18">
        <v>344.01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</v>
      </c>
      <c r="AU18" t="s">
        <v>29</v>
      </c>
      <c r="AV18">
        <v>0</v>
      </c>
      <c r="AW18">
        <v>2</v>
      </c>
      <c r="AX18">
        <v>23635166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ROW(Source!A34)</f>
        <v>34</v>
      </c>
      <c r="B19">
        <v>23635179</v>
      </c>
      <c r="C19">
        <v>23635178</v>
      </c>
      <c r="D19">
        <v>21063201</v>
      </c>
      <c r="E19">
        <v>1</v>
      </c>
      <c r="F19">
        <v>1</v>
      </c>
      <c r="G19">
        <v>1</v>
      </c>
      <c r="H19">
        <v>1</v>
      </c>
      <c r="I19" t="s">
        <v>227</v>
      </c>
      <c r="K19" t="s">
        <v>228</v>
      </c>
      <c r="L19">
        <v>1369</v>
      </c>
      <c r="N19">
        <v>1013</v>
      </c>
      <c r="O19" t="s">
        <v>202</v>
      </c>
      <c r="P19" t="s">
        <v>202</v>
      </c>
      <c r="Q19">
        <v>1</v>
      </c>
      <c r="Y19">
        <v>129.9</v>
      </c>
      <c r="AA19">
        <v>0</v>
      </c>
      <c r="AB19">
        <v>0</v>
      </c>
      <c r="AC19">
        <v>0</v>
      </c>
      <c r="AD19">
        <v>8.86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129.9</v>
      </c>
      <c r="AV19">
        <v>1</v>
      </c>
      <c r="AW19">
        <v>2</v>
      </c>
      <c r="AX19">
        <v>23635187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ROW(Source!A34)</f>
        <v>34</v>
      </c>
      <c r="B20">
        <v>23635180</v>
      </c>
      <c r="C20">
        <v>23635178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37</v>
      </c>
      <c r="K20" t="s">
        <v>203</v>
      </c>
      <c r="L20">
        <v>608254</v>
      </c>
      <c r="N20">
        <v>1013</v>
      </c>
      <c r="O20" t="s">
        <v>204</v>
      </c>
      <c r="P20" t="s">
        <v>204</v>
      </c>
      <c r="Q20">
        <v>1</v>
      </c>
      <c r="Y20">
        <v>1.38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1.38</v>
      </c>
      <c r="AV20">
        <v>2</v>
      </c>
      <c r="AW20">
        <v>2</v>
      </c>
      <c r="AX20">
        <v>23635188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ROW(Source!A34)</f>
        <v>34</v>
      </c>
      <c r="B21">
        <v>23635181</v>
      </c>
      <c r="C21">
        <v>23635178</v>
      </c>
      <c r="D21">
        <v>21011903</v>
      </c>
      <c r="E21">
        <v>1</v>
      </c>
      <c r="F21">
        <v>1</v>
      </c>
      <c r="G21">
        <v>1</v>
      </c>
      <c r="H21">
        <v>2</v>
      </c>
      <c r="I21" t="s">
        <v>229</v>
      </c>
      <c r="J21" t="s">
        <v>230</v>
      </c>
      <c r="K21" t="s">
        <v>231</v>
      </c>
      <c r="L21">
        <v>1368</v>
      </c>
      <c r="N21">
        <v>1011</v>
      </c>
      <c r="O21" t="s">
        <v>208</v>
      </c>
      <c r="P21" t="s">
        <v>208</v>
      </c>
      <c r="Q21">
        <v>1</v>
      </c>
      <c r="Y21">
        <v>2.1</v>
      </c>
      <c r="AA21">
        <v>0</v>
      </c>
      <c r="AB21">
        <v>1.7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2.1</v>
      </c>
      <c r="AV21">
        <v>0</v>
      </c>
      <c r="AW21">
        <v>2</v>
      </c>
      <c r="AX21">
        <v>23635189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ROW(Source!A34)</f>
        <v>34</v>
      </c>
      <c r="B22">
        <v>23635182</v>
      </c>
      <c r="C22">
        <v>23635178</v>
      </c>
      <c r="D22">
        <v>21012045</v>
      </c>
      <c r="E22">
        <v>1</v>
      </c>
      <c r="F22">
        <v>1</v>
      </c>
      <c r="G22">
        <v>1</v>
      </c>
      <c r="H22">
        <v>2</v>
      </c>
      <c r="I22" t="s">
        <v>232</v>
      </c>
      <c r="J22" t="s">
        <v>233</v>
      </c>
      <c r="K22" t="s">
        <v>234</v>
      </c>
      <c r="L22">
        <v>1368</v>
      </c>
      <c r="N22">
        <v>1011</v>
      </c>
      <c r="O22" t="s">
        <v>208</v>
      </c>
      <c r="P22" t="s">
        <v>208</v>
      </c>
      <c r="Q22">
        <v>1</v>
      </c>
      <c r="Y22">
        <v>1.38</v>
      </c>
      <c r="AA22">
        <v>0</v>
      </c>
      <c r="AB22">
        <v>46.56</v>
      </c>
      <c r="AC22">
        <v>10.06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1.38</v>
      </c>
      <c r="AV22">
        <v>0</v>
      </c>
      <c r="AW22">
        <v>2</v>
      </c>
      <c r="AX22">
        <v>23635190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ROW(Source!A34)</f>
        <v>34</v>
      </c>
      <c r="B23">
        <v>23635183</v>
      </c>
      <c r="C23">
        <v>23635178</v>
      </c>
      <c r="D23">
        <v>21013260</v>
      </c>
      <c r="E23">
        <v>1</v>
      </c>
      <c r="F23">
        <v>1</v>
      </c>
      <c r="G23">
        <v>1</v>
      </c>
      <c r="H23">
        <v>2</v>
      </c>
      <c r="I23" t="s">
        <v>235</v>
      </c>
      <c r="J23" t="s">
        <v>236</v>
      </c>
      <c r="K23" t="s">
        <v>237</v>
      </c>
      <c r="L23">
        <v>1368</v>
      </c>
      <c r="N23">
        <v>1011</v>
      </c>
      <c r="O23" t="s">
        <v>208</v>
      </c>
      <c r="P23" t="s">
        <v>208</v>
      </c>
      <c r="Q23">
        <v>1</v>
      </c>
      <c r="Y23">
        <v>1.38</v>
      </c>
      <c r="AA23">
        <v>0</v>
      </c>
      <c r="AB23">
        <v>1.53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1.38</v>
      </c>
      <c r="AV23">
        <v>0</v>
      </c>
      <c r="AW23">
        <v>2</v>
      </c>
      <c r="AX23">
        <v>23635191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ROW(Source!A34)</f>
        <v>34</v>
      </c>
      <c r="B24">
        <v>23635184</v>
      </c>
      <c r="C24">
        <v>23635178</v>
      </c>
      <c r="D24">
        <v>21015159</v>
      </c>
      <c r="E24">
        <v>1</v>
      </c>
      <c r="F24">
        <v>1</v>
      </c>
      <c r="G24">
        <v>1</v>
      </c>
      <c r="H24">
        <v>3</v>
      </c>
      <c r="I24" t="s">
        <v>238</v>
      </c>
      <c r="J24" t="s">
        <v>239</v>
      </c>
      <c r="K24" t="s">
        <v>240</v>
      </c>
      <c r="L24">
        <v>1348</v>
      </c>
      <c r="N24">
        <v>1009</v>
      </c>
      <c r="O24" t="s">
        <v>109</v>
      </c>
      <c r="P24" t="s">
        <v>109</v>
      </c>
      <c r="Q24">
        <v>1000</v>
      </c>
      <c r="Y24">
        <v>0.021</v>
      </c>
      <c r="AA24">
        <v>412.01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0.021</v>
      </c>
      <c r="AV24">
        <v>0</v>
      </c>
      <c r="AW24">
        <v>2</v>
      </c>
      <c r="AX24">
        <v>23635192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ROW(Source!A34)</f>
        <v>34</v>
      </c>
      <c r="B25">
        <v>23635185</v>
      </c>
      <c r="C25">
        <v>23635178</v>
      </c>
      <c r="D25">
        <v>21029200</v>
      </c>
      <c r="E25">
        <v>1</v>
      </c>
      <c r="F25">
        <v>1</v>
      </c>
      <c r="G25">
        <v>1</v>
      </c>
      <c r="H25">
        <v>3</v>
      </c>
      <c r="I25" t="s">
        <v>54</v>
      </c>
      <c r="J25" t="s">
        <v>56</v>
      </c>
      <c r="K25" t="s">
        <v>55</v>
      </c>
      <c r="L25">
        <v>1339</v>
      </c>
      <c r="N25">
        <v>1007</v>
      </c>
      <c r="O25" t="s">
        <v>51</v>
      </c>
      <c r="P25" t="s">
        <v>51</v>
      </c>
      <c r="Q25">
        <v>1</v>
      </c>
      <c r="Y25">
        <v>-2</v>
      </c>
      <c r="AA25">
        <v>519.8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-2</v>
      </c>
      <c r="AV25">
        <v>0</v>
      </c>
      <c r="AW25">
        <v>2</v>
      </c>
      <c r="AX25">
        <v>23635193</v>
      </c>
      <c r="AY25">
        <v>2</v>
      </c>
      <c r="AZ25">
        <v>12288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ROW(Source!A34)</f>
        <v>34</v>
      </c>
      <c r="B26">
        <v>23635751</v>
      </c>
      <c r="C26">
        <v>23635178</v>
      </c>
      <c r="D26">
        <v>21029204</v>
      </c>
      <c r="E26">
        <v>1</v>
      </c>
      <c r="F26">
        <v>1</v>
      </c>
      <c r="G26">
        <v>1</v>
      </c>
      <c r="H26">
        <v>3</v>
      </c>
      <c r="I26" t="s">
        <v>49</v>
      </c>
      <c r="J26" t="s">
        <v>52</v>
      </c>
      <c r="K26" t="s">
        <v>50</v>
      </c>
      <c r="L26">
        <v>1339</v>
      </c>
      <c r="N26">
        <v>1007</v>
      </c>
      <c r="O26" t="s">
        <v>51</v>
      </c>
      <c r="P26" t="s">
        <v>51</v>
      </c>
      <c r="Q26">
        <v>1</v>
      </c>
      <c r="Y26">
        <v>2</v>
      </c>
      <c r="AA26">
        <v>711.51</v>
      </c>
      <c r="AB26">
        <v>0</v>
      </c>
      <c r="AC26">
        <v>0</v>
      </c>
      <c r="AD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T26">
        <v>2</v>
      </c>
      <c r="AV26">
        <v>0</v>
      </c>
      <c r="AW26">
        <v>1</v>
      </c>
      <c r="AX26">
        <v>-1</v>
      </c>
      <c r="AY26">
        <v>0</v>
      </c>
      <c r="AZ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ROW(Source!A34)</f>
        <v>34</v>
      </c>
      <c r="B27">
        <v>23635186</v>
      </c>
      <c r="C27">
        <v>23635178</v>
      </c>
      <c r="D27">
        <v>21044829</v>
      </c>
      <c r="E27">
        <v>1</v>
      </c>
      <c r="F27">
        <v>1</v>
      </c>
      <c r="G27">
        <v>1</v>
      </c>
      <c r="H27">
        <v>3</v>
      </c>
      <c r="I27" t="s">
        <v>241</v>
      </c>
      <c r="J27" t="s">
        <v>242</v>
      </c>
      <c r="K27" t="s">
        <v>243</v>
      </c>
      <c r="L27">
        <v>1348</v>
      </c>
      <c r="N27">
        <v>1009</v>
      </c>
      <c r="O27" t="s">
        <v>109</v>
      </c>
      <c r="P27" t="s">
        <v>109</v>
      </c>
      <c r="Q27">
        <v>1000</v>
      </c>
      <c r="Y27">
        <v>1.48</v>
      </c>
      <c r="AA27">
        <v>0</v>
      </c>
      <c r="AB27">
        <v>0</v>
      </c>
      <c r="AC27">
        <v>0</v>
      </c>
      <c r="AD27">
        <v>0</v>
      </c>
      <c r="AN27">
        <v>1</v>
      </c>
      <c r="AO27">
        <v>0</v>
      </c>
      <c r="AP27">
        <v>0</v>
      </c>
      <c r="AQ27">
        <v>0</v>
      </c>
      <c r="AR27">
        <v>0</v>
      </c>
      <c r="AT27">
        <v>1.48</v>
      </c>
      <c r="AV27">
        <v>0</v>
      </c>
      <c r="AW27">
        <v>2</v>
      </c>
      <c r="AX27">
        <v>23635194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ROW(Source!A37)</f>
        <v>37</v>
      </c>
      <c r="B28">
        <v>23635854</v>
      </c>
      <c r="C28">
        <v>23635195</v>
      </c>
      <c r="D28">
        <v>21063220</v>
      </c>
      <c r="E28">
        <v>1</v>
      </c>
      <c r="F28">
        <v>1</v>
      </c>
      <c r="G28">
        <v>1</v>
      </c>
      <c r="H28">
        <v>1</v>
      </c>
      <c r="I28" t="s">
        <v>244</v>
      </c>
      <c r="K28" t="s">
        <v>245</v>
      </c>
      <c r="L28">
        <v>1369</v>
      </c>
      <c r="N28">
        <v>1013</v>
      </c>
      <c r="O28" t="s">
        <v>202</v>
      </c>
      <c r="P28" t="s">
        <v>202</v>
      </c>
      <c r="Q28">
        <v>1</v>
      </c>
      <c r="Y28">
        <v>20.8</v>
      </c>
      <c r="AA28">
        <v>0</v>
      </c>
      <c r="AB28">
        <v>0</v>
      </c>
      <c r="AC28">
        <v>0</v>
      </c>
      <c r="AD28">
        <v>7.8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20.8</v>
      </c>
      <c r="AV28">
        <v>1</v>
      </c>
      <c r="AW28">
        <v>2</v>
      </c>
      <c r="AX28">
        <v>23635854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ROW(Source!A37)</f>
        <v>37</v>
      </c>
      <c r="B29">
        <v>23635855</v>
      </c>
      <c r="C29">
        <v>23635195</v>
      </c>
      <c r="D29">
        <v>121548</v>
      </c>
      <c r="E29">
        <v>1</v>
      </c>
      <c r="F29">
        <v>1</v>
      </c>
      <c r="G29">
        <v>1</v>
      </c>
      <c r="H29">
        <v>1</v>
      </c>
      <c r="I29" t="s">
        <v>37</v>
      </c>
      <c r="K29" t="s">
        <v>203</v>
      </c>
      <c r="L29">
        <v>608254</v>
      </c>
      <c r="N29">
        <v>1013</v>
      </c>
      <c r="O29" t="s">
        <v>204</v>
      </c>
      <c r="P29" t="s">
        <v>204</v>
      </c>
      <c r="Q29">
        <v>1</v>
      </c>
      <c r="Y29">
        <v>0</v>
      </c>
      <c r="AA29">
        <v>0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</v>
      </c>
      <c r="AV29">
        <v>2</v>
      </c>
      <c r="AW29">
        <v>2</v>
      </c>
      <c r="AX29">
        <v>23635855</v>
      </c>
      <c r="AY29">
        <v>1</v>
      </c>
      <c r="AZ29">
        <v>0</v>
      </c>
      <c r="BA29">
        <v>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ROW(Source!A38)</f>
        <v>38</v>
      </c>
      <c r="B30">
        <v>23635197</v>
      </c>
      <c r="C30">
        <v>23635196</v>
      </c>
      <c r="D30">
        <v>21069792</v>
      </c>
      <c r="E30">
        <v>1</v>
      </c>
      <c r="F30">
        <v>1</v>
      </c>
      <c r="G30">
        <v>1</v>
      </c>
      <c r="H30">
        <v>1</v>
      </c>
      <c r="I30" t="s">
        <v>246</v>
      </c>
      <c r="K30" t="s">
        <v>247</v>
      </c>
      <c r="L30">
        <v>1369</v>
      </c>
      <c r="N30">
        <v>1013</v>
      </c>
      <c r="O30" t="s">
        <v>202</v>
      </c>
      <c r="P30" t="s">
        <v>202</v>
      </c>
      <c r="Q30">
        <v>1</v>
      </c>
      <c r="Y30">
        <v>26.1</v>
      </c>
      <c r="AA30">
        <v>0</v>
      </c>
      <c r="AB30">
        <v>0</v>
      </c>
      <c r="AC30">
        <v>0</v>
      </c>
      <c r="AD30">
        <v>9.18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26.1</v>
      </c>
      <c r="AV30">
        <v>1</v>
      </c>
      <c r="AW30">
        <v>2</v>
      </c>
      <c r="AX30">
        <v>23635206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ROW(Source!A38)</f>
        <v>38</v>
      </c>
      <c r="B31">
        <v>23635198</v>
      </c>
      <c r="C31">
        <v>23635196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37</v>
      </c>
      <c r="K31" t="s">
        <v>203</v>
      </c>
      <c r="L31">
        <v>608254</v>
      </c>
      <c r="N31">
        <v>1013</v>
      </c>
      <c r="O31" t="s">
        <v>204</v>
      </c>
      <c r="P31" t="s">
        <v>204</v>
      </c>
      <c r="Q31">
        <v>1</v>
      </c>
      <c r="Y31">
        <v>0.24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0.24</v>
      </c>
      <c r="AV31">
        <v>2</v>
      </c>
      <c r="AW31">
        <v>2</v>
      </c>
      <c r="AX31">
        <v>23635207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ROW(Source!A38)</f>
        <v>38</v>
      </c>
      <c r="B32">
        <v>23635199</v>
      </c>
      <c r="C32">
        <v>23635196</v>
      </c>
      <c r="D32">
        <v>21011724</v>
      </c>
      <c r="E32">
        <v>1</v>
      </c>
      <c r="F32">
        <v>1</v>
      </c>
      <c r="G32">
        <v>1</v>
      </c>
      <c r="H32">
        <v>2</v>
      </c>
      <c r="I32" t="s">
        <v>205</v>
      </c>
      <c r="J32" t="s">
        <v>206</v>
      </c>
      <c r="K32" t="s">
        <v>207</v>
      </c>
      <c r="L32">
        <v>1368</v>
      </c>
      <c r="N32">
        <v>1011</v>
      </c>
      <c r="O32" t="s">
        <v>208</v>
      </c>
      <c r="P32" t="s">
        <v>208</v>
      </c>
      <c r="Q32">
        <v>1</v>
      </c>
      <c r="Y32">
        <v>0.15</v>
      </c>
      <c r="AA32">
        <v>0</v>
      </c>
      <c r="AB32">
        <v>86.4</v>
      </c>
      <c r="AC32">
        <v>13.5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0.15</v>
      </c>
      <c r="AV32">
        <v>0</v>
      </c>
      <c r="AW32">
        <v>2</v>
      </c>
      <c r="AX32">
        <v>23635208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ROW(Source!A38)</f>
        <v>38</v>
      </c>
      <c r="B33">
        <v>23635200</v>
      </c>
      <c r="C33">
        <v>23635196</v>
      </c>
      <c r="D33">
        <v>21011808</v>
      </c>
      <c r="E33">
        <v>1</v>
      </c>
      <c r="F33">
        <v>1</v>
      </c>
      <c r="G33">
        <v>1</v>
      </c>
      <c r="H33">
        <v>2</v>
      </c>
      <c r="I33" t="s">
        <v>248</v>
      </c>
      <c r="J33" t="s">
        <v>249</v>
      </c>
      <c r="K33" t="s">
        <v>250</v>
      </c>
      <c r="L33">
        <v>1368</v>
      </c>
      <c r="N33">
        <v>1011</v>
      </c>
      <c r="O33" t="s">
        <v>208</v>
      </c>
      <c r="P33" t="s">
        <v>208</v>
      </c>
      <c r="Q33">
        <v>1</v>
      </c>
      <c r="Y33">
        <v>0.09</v>
      </c>
      <c r="AA33">
        <v>0</v>
      </c>
      <c r="AB33">
        <v>112</v>
      </c>
      <c r="AC33">
        <v>13.5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0.09</v>
      </c>
      <c r="AV33">
        <v>0</v>
      </c>
      <c r="AW33">
        <v>2</v>
      </c>
      <c r="AX33">
        <v>23635209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ROW(Source!A38)</f>
        <v>38</v>
      </c>
      <c r="B34">
        <v>23635201</v>
      </c>
      <c r="C34">
        <v>23635196</v>
      </c>
      <c r="D34">
        <v>21012457</v>
      </c>
      <c r="E34">
        <v>1</v>
      </c>
      <c r="F34">
        <v>1</v>
      </c>
      <c r="G34">
        <v>1</v>
      </c>
      <c r="H34">
        <v>2</v>
      </c>
      <c r="I34" t="s">
        <v>251</v>
      </c>
      <c r="J34" t="s">
        <v>252</v>
      </c>
      <c r="K34" t="s">
        <v>253</v>
      </c>
      <c r="L34">
        <v>1368</v>
      </c>
      <c r="N34">
        <v>1011</v>
      </c>
      <c r="O34" t="s">
        <v>208</v>
      </c>
      <c r="P34" t="s">
        <v>208</v>
      </c>
      <c r="Q34">
        <v>1</v>
      </c>
      <c r="Y34">
        <v>4.94</v>
      </c>
      <c r="AA34">
        <v>0</v>
      </c>
      <c r="AB34">
        <v>30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4.94</v>
      </c>
      <c r="AV34">
        <v>0</v>
      </c>
      <c r="AW34">
        <v>2</v>
      </c>
      <c r="AX34">
        <v>23635210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ROW(Source!A38)</f>
        <v>38</v>
      </c>
      <c r="B35">
        <v>23635202</v>
      </c>
      <c r="C35">
        <v>23635196</v>
      </c>
      <c r="D35">
        <v>21013544</v>
      </c>
      <c r="E35">
        <v>1</v>
      </c>
      <c r="F35">
        <v>1</v>
      </c>
      <c r="G35">
        <v>1</v>
      </c>
      <c r="H35">
        <v>2</v>
      </c>
      <c r="I35" t="s">
        <v>212</v>
      </c>
      <c r="J35" t="s">
        <v>213</v>
      </c>
      <c r="K35" t="s">
        <v>214</v>
      </c>
      <c r="L35">
        <v>1368</v>
      </c>
      <c r="N35">
        <v>1011</v>
      </c>
      <c r="O35" t="s">
        <v>208</v>
      </c>
      <c r="P35" t="s">
        <v>208</v>
      </c>
      <c r="Q35">
        <v>1</v>
      </c>
      <c r="Y35">
        <v>0.12</v>
      </c>
      <c r="AA35">
        <v>0</v>
      </c>
      <c r="AB35">
        <v>87.17</v>
      </c>
      <c r="AC35">
        <v>11.6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0.12</v>
      </c>
      <c r="AV35">
        <v>0</v>
      </c>
      <c r="AW35">
        <v>2</v>
      </c>
      <c r="AX35">
        <v>23635211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ROW(Source!A38)</f>
        <v>38</v>
      </c>
      <c r="B36">
        <v>23635203</v>
      </c>
      <c r="C36">
        <v>23635196</v>
      </c>
      <c r="D36">
        <v>21014644</v>
      </c>
      <c r="E36">
        <v>1</v>
      </c>
      <c r="F36">
        <v>1</v>
      </c>
      <c r="G36">
        <v>1</v>
      </c>
      <c r="H36">
        <v>3</v>
      </c>
      <c r="I36" t="s">
        <v>254</v>
      </c>
      <c r="J36" t="s">
        <v>255</v>
      </c>
      <c r="K36" t="s">
        <v>256</v>
      </c>
      <c r="L36">
        <v>1348</v>
      </c>
      <c r="N36">
        <v>1009</v>
      </c>
      <c r="O36" t="s">
        <v>109</v>
      </c>
      <c r="P36" t="s">
        <v>109</v>
      </c>
      <c r="Q36">
        <v>1000</v>
      </c>
      <c r="Y36">
        <v>0</v>
      </c>
      <c r="AA36">
        <v>3390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0.605</v>
      </c>
      <c r="AU36" t="s">
        <v>29</v>
      </c>
      <c r="AV36">
        <v>0</v>
      </c>
      <c r="AW36">
        <v>2</v>
      </c>
      <c r="AX36">
        <v>23635212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ROW(Source!A38)</f>
        <v>38</v>
      </c>
      <c r="B37">
        <v>23635204</v>
      </c>
      <c r="C37">
        <v>23635196</v>
      </c>
      <c r="D37">
        <v>21017137</v>
      </c>
      <c r="E37">
        <v>1</v>
      </c>
      <c r="F37">
        <v>1</v>
      </c>
      <c r="G37">
        <v>1</v>
      </c>
      <c r="H37">
        <v>3</v>
      </c>
      <c r="I37" t="s">
        <v>257</v>
      </c>
      <c r="J37" t="s">
        <v>258</v>
      </c>
      <c r="K37" t="s">
        <v>259</v>
      </c>
      <c r="L37">
        <v>1327</v>
      </c>
      <c r="N37">
        <v>1005</v>
      </c>
      <c r="O37" t="s">
        <v>260</v>
      </c>
      <c r="P37" t="s">
        <v>260</v>
      </c>
      <c r="Q37">
        <v>1</v>
      </c>
      <c r="Y37">
        <v>0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252</v>
      </c>
      <c r="AU37" t="s">
        <v>29</v>
      </c>
      <c r="AV37">
        <v>0</v>
      </c>
      <c r="AW37">
        <v>2</v>
      </c>
      <c r="AX37">
        <v>23635213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ROW(Source!A38)</f>
        <v>38</v>
      </c>
      <c r="B38">
        <v>23635205</v>
      </c>
      <c r="C38">
        <v>23635196</v>
      </c>
      <c r="D38">
        <v>21029200</v>
      </c>
      <c r="E38">
        <v>1</v>
      </c>
      <c r="F38">
        <v>1</v>
      </c>
      <c r="G38">
        <v>1</v>
      </c>
      <c r="H38">
        <v>3</v>
      </c>
      <c r="I38" t="s">
        <v>54</v>
      </c>
      <c r="J38" t="s">
        <v>56</v>
      </c>
      <c r="K38" t="s">
        <v>55</v>
      </c>
      <c r="L38">
        <v>1339</v>
      </c>
      <c r="N38">
        <v>1007</v>
      </c>
      <c r="O38" t="s">
        <v>51</v>
      </c>
      <c r="P38" t="s">
        <v>51</v>
      </c>
      <c r="Q38">
        <v>1</v>
      </c>
      <c r="Y38">
        <v>0</v>
      </c>
      <c r="AA38">
        <v>519.8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0.51</v>
      </c>
      <c r="AU38" t="s">
        <v>29</v>
      </c>
      <c r="AV38">
        <v>0</v>
      </c>
      <c r="AW38">
        <v>2</v>
      </c>
      <c r="AX38">
        <v>23635214</v>
      </c>
      <c r="AY38">
        <v>1</v>
      </c>
      <c r="AZ38">
        <v>0</v>
      </c>
      <c r="BA38">
        <v>37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ROW(Source!A38)</f>
        <v>38</v>
      </c>
      <c r="B39">
        <v>23635859</v>
      </c>
      <c r="C39">
        <v>23635196</v>
      </c>
      <c r="D39">
        <v>0</v>
      </c>
      <c r="E39">
        <v>0</v>
      </c>
      <c r="F39">
        <v>1</v>
      </c>
      <c r="G39">
        <v>1</v>
      </c>
      <c r="H39">
        <v>3</v>
      </c>
      <c r="I39" t="s">
        <v>74</v>
      </c>
      <c r="K39" t="s">
        <v>75</v>
      </c>
      <c r="L39">
        <v>1346</v>
      </c>
      <c r="N39">
        <v>1009</v>
      </c>
      <c r="O39" t="s">
        <v>76</v>
      </c>
      <c r="P39" t="s">
        <v>76</v>
      </c>
      <c r="Q39">
        <v>1</v>
      </c>
      <c r="Y39">
        <v>0</v>
      </c>
      <c r="AA39">
        <v>299.98</v>
      </c>
      <c r="AB39">
        <v>0</v>
      </c>
      <c r="AC39">
        <v>0</v>
      </c>
      <c r="AD39">
        <v>0</v>
      </c>
      <c r="AN39">
        <v>0</v>
      </c>
      <c r="AO39">
        <v>0</v>
      </c>
      <c r="AP39">
        <v>1</v>
      </c>
      <c r="AQ39">
        <v>0</v>
      </c>
      <c r="AR39">
        <v>0</v>
      </c>
      <c r="AT39">
        <v>100</v>
      </c>
      <c r="AU39" t="s">
        <v>29</v>
      </c>
      <c r="AV39">
        <v>0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ROW(Source!A40)</f>
        <v>40</v>
      </c>
      <c r="B40">
        <v>23635860</v>
      </c>
      <c r="C40">
        <v>23635215</v>
      </c>
      <c r="D40">
        <v>21063970</v>
      </c>
      <c r="E40">
        <v>1</v>
      </c>
      <c r="F40">
        <v>1</v>
      </c>
      <c r="G40">
        <v>1</v>
      </c>
      <c r="H40">
        <v>1</v>
      </c>
      <c r="I40" t="s">
        <v>261</v>
      </c>
      <c r="K40" t="s">
        <v>262</v>
      </c>
      <c r="L40">
        <v>1369</v>
      </c>
      <c r="N40">
        <v>1013</v>
      </c>
      <c r="O40" t="s">
        <v>202</v>
      </c>
      <c r="P40" t="s">
        <v>202</v>
      </c>
      <c r="Q40">
        <v>1</v>
      </c>
      <c r="Y40">
        <v>22.34</v>
      </c>
      <c r="AA40">
        <v>0</v>
      </c>
      <c r="AB40">
        <v>0</v>
      </c>
      <c r="AC40">
        <v>0</v>
      </c>
      <c r="AD40">
        <v>9.4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22.34</v>
      </c>
      <c r="AV40">
        <v>1</v>
      </c>
      <c r="AW40">
        <v>2</v>
      </c>
      <c r="AX40">
        <v>23635860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ROW(Source!A40)</f>
        <v>40</v>
      </c>
      <c r="B41">
        <v>23635861</v>
      </c>
      <c r="C41">
        <v>23635215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37</v>
      </c>
      <c r="K41" t="s">
        <v>203</v>
      </c>
      <c r="L41">
        <v>608254</v>
      </c>
      <c r="N41">
        <v>1013</v>
      </c>
      <c r="O41" t="s">
        <v>204</v>
      </c>
      <c r="P41" t="s">
        <v>204</v>
      </c>
      <c r="Q41">
        <v>1</v>
      </c>
      <c r="Y41">
        <v>0.31</v>
      </c>
      <c r="AA41">
        <v>0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0.31</v>
      </c>
      <c r="AV41">
        <v>2</v>
      </c>
      <c r="AW41">
        <v>2</v>
      </c>
      <c r="AX41">
        <v>23635861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ROW(Source!A40)</f>
        <v>40</v>
      </c>
      <c r="B42">
        <v>23635862</v>
      </c>
      <c r="C42">
        <v>23635215</v>
      </c>
      <c r="D42">
        <v>21011724</v>
      </c>
      <c r="E42">
        <v>1</v>
      </c>
      <c r="F42">
        <v>1</v>
      </c>
      <c r="G42">
        <v>1</v>
      </c>
      <c r="H42">
        <v>2</v>
      </c>
      <c r="I42" t="s">
        <v>205</v>
      </c>
      <c r="J42" t="s">
        <v>206</v>
      </c>
      <c r="K42" t="s">
        <v>207</v>
      </c>
      <c r="L42">
        <v>1368</v>
      </c>
      <c r="N42">
        <v>1011</v>
      </c>
      <c r="O42" t="s">
        <v>208</v>
      </c>
      <c r="P42" t="s">
        <v>208</v>
      </c>
      <c r="Q42">
        <v>1</v>
      </c>
      <c r="Y42">
        <v>0.23</v>
      </c>
      <c r="AA42">
        <v>0</v>
      </c>
      <c r="AB42">
        <v>86.4</v>
      </c>
      <c r="AC42">
        <v>13.5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0.23</v>
      </c>
      <c r="AV42">
        <v>0</v>
      </c>
      <c r="AW42">
        <v>2</v>
      </c>
      <c r="AX42">
        <v>23635862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ROW(Source!A40)</f>
        <v>40</v>
      </c>
      <c r="B43">
        <v>23635863</v>
      </c>
      <c r="C43">
        <v>23635215</v>
      </c>
      <c r="D43">
        <v>21011808</v>
      </c>
      <c r="E43">
        <v>1</v>
      </c>
      <c r="F43">
        <v>1</v>
      </c>
      <c r="G43">
        <v>1</v>
      </c>
      <c r="H43">
        <v>2</v>
      </c>
      <c r="I43" t="s">
        <v>248</v>
      </c>
      <c r="J43" t="s">
        <v>249</v>
      </c>
      <c r="K43" t="s">
        <v>250</v>
      </c>
      <c r="L43">
        <v>1368</v>
      </c>
      <c r="N43">
        <v>1011</v>
      </c>
      <c r="O43" t="s">
        <v>208</v>
      </c>
      <c r="P43" t="s">
        <v>208</v>
      </c>
      <c r="Q43">
        <v>1</v>
      </c>
      <c r="Y43">
        <v>0.08</v>
      </c>
      <c r="AA43">
        <v>0</v>
      </c>
      <c r="AB43">
        <v>112</v>
      </c>
      <c r="AC43">
        <v>13.5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0.08</v>
      </c>
      <c r="AV43">
        <v>0</v>
      </c>
      <c r="AW43">
        <v>2</v>
      </c>
      <c r="AX43">
        <v>23635863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ROW(Source!A40)</f>
        <v>40</v>
      </c>
      <c r="B44">
        <v>23635864</v>
      </c>
      <c r="C44">
        <v>23635215</v>
      </c>
      <c r="D44">
        <v>21012678</v>
      </c>
      <c r="E44">
        <v>1</v>
      </c>
      <c r="F44">
        <v>1</v>
      </c>
      <c r="G44">
        <v>1</v>
      </c>
      <c r="H44">
        <v>2</v>
      </c>
      <c r="I44" t="s">
        <v>263</v>
      </c>
      <c r="J44" t="s">
        <v>264</v>
      </c>
      <c r="K44" t="s">
        <v>265</v>
      </c>
      <c r="L44">
        <v>1368</v>
      </c>
      <c r="N44">
        <v>1011</v>
      </c>
      <c r="O44" t="s">
        <v>208</v>
      </c>
      <c r="P44" t="s">
        <v>208</v>
      </c>
      <c r="Q44">
        <v>1</v>
      </c>
      <c r="Y44">
        <v>7.2</v>
      </c>
      <c r="AA44">
        <v>0</v>
      </c>
      <c r="AB44">
        <v>3.5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7.2</v>
      </c>
      <c r="AV44">
        <v>0</v>
      </c>
      <c r="AW44">
        <v>2</v>
      </c>
      <c r="AX44">
        <v>23635864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ROW(Source!A40)</f>
        <v>40</v>
      </c>
      <c r="B45">
        <v>23635865</v>
      </c>
      <c r="C45">
        <v>23635215</v>
      </c>
      <c r="D45">
        <v>21013544</v>
      </c>
      <c r="E45">
        <v>1</v>
      </c>
      <c r="F45">
        <v>1</v>
      </c>
      <c r="G45">
        <v>1</v>
      </c>
      <c r="H45">
        <v>2</v>
      </c>
      <c r="I45" t="s">
        <v>212</v>
      </c>
      <c r="J45" t="s">
        <v>213</v>
      </c>
      <c r="K45" t="s">
        <v>214</v>
      </c>
      <c r="L45">
        <v>1368</v>
      </c>
      <c r="N45">
        <v>1011</v>
      </c>
      <c r="O45" t="s">
        <v>208</v>
      </c>
      <c r="P45" t="s">
        <v>208</v>
      </c>
      <c r="Q45">
        <v>1</v>
      </c>
      <c r="Y45">
        <v>0.12</v>
      </c>
      <c r="AA45">
        <v>0</v>
      </c>
      <c r="AB45">
        <v>87.17</v>
      </c>
      <c r="AC45">
        <v>11.6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0.12</v>
      </c>
      <c r="AV45">
        <v>0</v>
      </c>
      <c r="AW45">
        <v>2</v>
      </c>
      <c r="AX45">
        <v>23635865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ROW(Source!A40)</f>
        <v>40</v>
      </c>
      <c r="B46">
        <v>23635866</v>
      </c>
      <c r="C46">
        <v>23635215</v>
      </c>
      <c r="D46">
        <v>21015911</v>
      </c>
      <c r="E46">
        <v>1</v>
      </c>
      <c r="F46">
        <v>1</v>
      </c>
      <c r="G46">
        <v>1</v>
      </c>
      <c r="H46">
        <v>3</v>
      </c>
      <c r="I46" t="s">
        <v>266</v>
      </c>
      <c r="J46" t="s">
        <v>267</v>
      </c>
      <c r="K46" t="s">
        <v>268</v>
      </c>
      <c r="L46">
        <v>1346</v>
      </c>
      <c r="N46">
        <v>1009</v>
      </c>
      <c r="O46" t="s">
        <v>76</v>
      </c>
      <c r="P46" t="s">
        <v>76</v>
      </c>
      <c r="Q46">
        <v>1</v>
      </c>
      <c r="Y46">
        <v>44.3</v>
      </c>
      <c r="AA46">
        <v>6.09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44.3</v>
      </c>
      <c r="AV46">
        <v>0</v>
      </c>
      <c r="AW46">
        <v>2</v>
      </c>
      <c r="AX46">
        <v>23635866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ROW(Source!A40)</f>
        <v>40</v>
      </c>
      <c r="B47">
        <v>23635867</v>
      </c>
      <c r="C47">
        <v>23635215</v>
      </c>
      <c r="D47">
        <v>21017135</v>
      </c>
      <c r="E47">
        <v>1</v>
      </c>
      <c r="F47">
        <v>1</v>
      </c>
      <c r="G47">
        <v>1</v>
      </c>
      <c r="H47">
        <v>3</v>
      </c>
      <c r="I47" t="s">
        <v>269</v>
      </c>
      <c r="J47" t="s">
        <v>270</v>
      </c>
      <c r="K47" t="s">
        <v>271</v>
      </c>
      <c r="L47">
        <v>1327</v>
      </c>
      <c r="N47">
        <v>1005</v>
      </c>
      <c r="O47" t="s">
        <v>260</v>
      </c>
      <c r="P47" t="s">
        <v>260</v>
      </c>
      <c r="Q47">
        <v>1</v>
      </c>
      <c r="Y47">
        <v>115</v>
      </c>
      <c r="AA47">
        <v>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115</v>
      </c>
      <c r="AV47">
        <v>0</v>
      </c>
      <c r="AW47">
        <v>2</v>
      </c>
      <c r="AX47">
        <v>23635867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ROW(Source!A40)</f>
        <v>40</v>
      </c>
      <c r="B48">
        <v>23635868</v>
      </c>
      <c r="C48">
        <v>23635215</v>
      </c>
      <c r="D48">
        <v>21017136</v>
      </c>
      <c r="E48">
        <v>1</v>
      </c>
      <c r="F48">
        <v>1</v>
      </c>
      <c r="G48">
        <v>1</v>
      </c>
      <c r="H48">
        <v>3</v>
      </c>
      <c r="I48" t="s">
        <v>272</v>
      </c>
      <c r="J48" t="s">
        <v>273</v>
      </c>
      <c r="K48" t="s">
        <v>274</v>
      </c>
      <c r="L48">
        <v>1327</v>
      </c>
      <c r="N48">
        <v>1005</v>
      </c>
      <c r="O48" t="s">
        <v>260</v>
      </c>
      <c r="P48" t="s">
        <v>260</v>
      </c>
      <c r="Q48">
        <v>1</v>
      </c>
      <c r="Y48">
        <v>226</v>
      </c>
      <c r="AA48">
        <v>0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226</v>
      </c>
      <c r="AV48">
        <v>0</v>
      </c>
      <c r="AW48">
        <v>2</v>
      </c>
      <c r="AX48">
        <v>23635868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ROW(Source!A42)</f>
        <v>42</v>
      </c>
      <c r="B49">
        <v>23635217</v>
      </c>
      <c r="C49">
        <v>23635216</v>
      </c>
      <c r="D49">
        <v>21067004</v>
      </c>
      <c r="E49">
        <v>1</v>
      </c>
      <c r="F49">
        <v>1</v>
      </c>
      <c r="G49">
        <v>1</v>
      </c>
      <c r="H49">
        <v>1</v>
      </c>
      <c r="I49" t="s">
        <v>275</v>
      </c>
      <c r="K49" t="s">
        <v>276</v>
      </c>
      <c r="L49">
        <v>1369</v>
      </c>
      <c r="N49">
        <v>1013</v>
      </c>
      <c r="O49" t="s">
        <v>202</v>
      </c>
      <c r="P49" t="s">
        <v>202</v>
      </c>
      <c r="Q49">
        <v>1</v>
      </c>
      <c r="Y49">
        <v>7.84</v>
      </c>
      <c r="AA49">
        <v>0</v>
      </c>
      <c r="AB49">
        <v>0</v>
      </c>
      <c r="AC49">
        <v>0</v>
      </c>
      <c r="AD49">
        <v>8.74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7.84</v>
      </c>
      <c r="AV49">
        <v>1</v>
      </c>
      <c r="AW49">
        <v>2</v>
      </c>
      <c r="AX49">
        <v>23635225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ROW(Source!A42)</f>
        <v>42</v>
      </c>
      <c r="B50">
        <v>23635218</v>
      </c>
      <c r="C50">
        <v>23635216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37</v>
      </c>
      <c r="K50" t="s">
        <v>203</v>
      </c>
      <c r="L50">
        <v>608254</v>
      </c>
      <c r="N50">
        <v>1013</v>
      </c>
      <c r="O50" t="s">
        <v>204</v>
      </c>
      <c r="P50" t="s">
        <v>204</v>
      </c>
      <c r="Q50">
        <v>1</v>
      </c>
      <c r="Y50">
        <v>0.13</v>
      </c>
      <c r="AA50">
        <v>0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0.13</v>
      </c>
      <c r="AV50">
        <v>2</v>
      </c>
      <c r="AW50">
        <v>2</v>
      </c>
      <c r="AX50">
        <v>23635226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ROW(Source!A42)</f>
        <v>42</v>
      </c>
      <c r="B51">
        <v>23635219</v>
      </c>
      <c r="C51">
        <v>23635216</v>
      </c>
      <c r="D51">
        <v>21011724</v>
      </c>
      <c r="E51">
        <v>1</v>
      </c>
      <c r="F51">
        <v>1</v>
      </c>
      <c r="G51">
        <v>1</v>
      </c>
      <c r="H51">
        <v>2</v>
      </c>
      <c r="I51" t="s">
        <v>205</v>
      </c>
      <c r="J51" t="s">
        <v>206</v>
      </c>
      <c r="K51" t="s">
        <v>207</v>
      </c>
      <c r="L51">
        <v>1368</v>
      </c>
      <c r="N51">
        <v>1011</v>
      </c>
      <c r="O51" t="s">
        <v>208</v>
      </c>
      <c r="P51" t="s">
        <v>208</v>
      </c>
      <c r="Q51">
        <v>1</v>
      </c>
      <c r="Y51">
        <v>0.08</v>
      </c>
      <c r="AA51">
        <v>0</v>
      </c>
      <c r="AB51">
        <v>86.4</v>
      </c>
      <c r="AC51">
        <v>13.5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0.08</v>
      </c>
      <c r="AV51">
        <v>0</v>
      </c>
      <c r="AW51">
        <v>2</v>
      </c>
      <c r="AX51">
        <v>23635227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ROW(Source!A42)</f>
        <v>42</v>
      </c>
      <c r="B52">
        <v>23635220</v>
      </c>
      <c r="C52">
        <v>23635216</v>
      </c>
      <c r="D52">
        <v>21011808</v>
      </c>
      <c r="E52">
        <v>1</v>
      </c>
      <c r="F52">
        <v>1</v>
      </c>
      <c r="G52">
        <v>1</v>
      </c>
      <c r="H52">
        <v>2</v>
      </c>
      <c r="I52" t="s">
        <v>248</v>
      </c>
      <c r="J52" t="s">
        <v>249</v>
      </c>
      <c r="K52" t="s">
        <v>250</v>
      </c>
      <c r="L52">
        <v>1368</v>
      </c>
      <c r="N52">
        <v>1011</v>
      </c>
      <c r="O52" t="s">
        <v>208</v>
      </c>
      <c r="P52" t="s">
        <v>208</v>
      </c>
      <c r="Q52">
        <v>1</v>
      </c>
      <c r="Y52">
        <v>0.05</v>
      </c>
      <c r="AA52">
        <v>0</v>
      </c>
      <c r="AB52">
        <v>112</v>
      </c>
      <c r="AC52">
        <v>13.5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0.05</v>
      </c>
      <c r="AV52">
        <v>0</v>
      </c>
      <c r="AW52">
        <v>2</v>
      </c>
      <c r="AX52">
        <v>23635228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ROW(Source!A42)</f>
        <v>42</v>
      </c>
      <c r="B53">
        <v>23635221</v>
      </c>
      <c r="C53">
        <v>23635216</v>
      </c>
      <c r="D53">
        <v>21012457</v>
      </c>
      <c r="E53">
        <v>1</v>
      </c>
      <c r="F53">
        <v>1</v>
      </c>
      <c r="G53">
        <v>1</v>
      </c>
      <c r="H53">
        <v>2</v>
      </c>
      <c r="I53" t="s">
        <v>251</v>
      </c>
      <c r="J53" t="s">
        <v>252</v>
      </c>
      <c r="K53" t="s">
        <v>253</v>
      </c>
      <c r="L53">
        <v>1368</v>
      </c>
      <c r="N53">
        <v>1011</v>
      </c>
      <c r="O53" t="s">
        <v>208</v>
      </c>
      <c r="P53" t="s">
        <v>208</v>
      </c>
      <c r="Q53">
        <v>1</v>
      </c>
      <c r="Y53">
        <v>0.41</v>
      </c>
      <c r="AA53">
        <v>0</v>
      </c>
      <c r="AB53">
        <v>30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0.41</v>
      </c>
      <c r="AV53">
        <v>0</v>
      </c>
      <c r="AW53">
        <v>2</v>
      </c>
      <c r="AX53">
        <v>23635229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ROW(Source!A42)</f>
        <v>42</v>
      </c>
      <c r="B54">
        <v>23635222</v>
      </c>
      <c r="C54">
        <v>23635216</v>
      </c>
      <c r="D54">
        <v>21013544</v>
      </c>
      <c r="E54">
        <v>1</v>
      </c>
      <c r="F54">
        <v>1</v>
      </c>
      <c r="G54">
        <v>1</v>
      </c>
      <c r="H54">
        <v>2</v>
      </c>
      <c r="I54" t="s">
        <v>212</v>
      </c>
      <c r="J54" t="s">
        <v>213</v>
      </c>
      <c r="K54" t="s">
        <v>214</v>
      </c>
      <c r="L54">
        <v>1368</v>
      </c>
      <c r="N54">
        <v>1011</v>
      </c>
      <c r="O54" t="s">
        <v>208</v>
      </c>
      <c r="P54" t="s">
        <v>208</v>
      </c>
      <c r="Q54">
        <v>1</v>
      </c>
      <c r="Y54">
        <v>0.08</v>
      </c>
      <c r="AA54">
        <v>0</v>
      </c>
      <c r="AB54">
        <v>87.17</v>
      </c>
      <c r="AC54">
        <v>11.6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0.08</v>
      </c>
      <c r="AV54">
        <v>0</v>
      </c>
      <c r="AW54">
        <v>2</v>
      </c>
      <c r="AX54">
        <v>23635230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ROW(Source!A42)</f>
        <v>42</v>
      </c>
      <c r="B55">
        <v>23635223</v>
      </c>
      <c r="C55">
        <v>23635216</v>
      </c>
      <c r="D55">
        <v>21014644</v>
      </c>
      <c r="E55">
        <v>1</v>
      </c>
      <c r="F55">
        <v>1</v>
      </c>
      <c r="G55">
        <v>1</v>
      </c>
      <c r="H55">
        <v>3</v>
      </c>
      <c r="I55" t="s">
        <v>254</v>
      </c>
      <c r="J55" t="s">
        <v>255</v>
      </c>
      <c r="K55" t="s">
        <v>256</v>
      </c>
      <c r="L55">
        <v>1348</v>
      </c>
      <c r="N55">
        <v>1009</v>
      </c>
      <c r="O55" t="s">
        <v>109</v>
      </c>
      <c r="P55" t="s">
        <v>109</v>
      </c>
      <c r="Q55">
        <v>1000</v>
      </c>
      <c r="Y55">
        <v>0</v>
      </c>
      <c r="AA55">
        <v>3390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0.05</v>
      </c>
      <c r="AU55" t="s">
        <v>29</v>
      </c>
      <c r="AV55">
        <v>0</v>
      </c>
      <c r="AW55">
        <v>2</v>
      </c>
      <c r="AX55">
        <v>23635231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ROW(Source!A42)</f>
        <v>42</v>
      </c>
      <c r="B56">
        <v>23635224</v>
      </c>
      <c r="C56">
        <v>23635216</v>
      </c>
      <c r="D56">
        <v>21014773</v>
      </c>
      <c r="E56">
        <v>1</v>
      </c>
      <c r="F56">
        <v>1</v>
      </c>
      <c r="G56">
        <v>1</v>
      </c>
      <c r="H56">
        <v>3</v>
      </c>
      <c r="I56" t="s">
        <v>277</v>
      </c>
      <c r="J56" t="s">
        <v>278</v>
      </c>
      <c r="K56" t="s">
        <v>279</v>
      </c>
      <c r="L56">
        <v>1327</v>
      </c>
      <c r="N56">
        <v>1005</v>
      </c>
      <c r="O56" t="s">
        <v>260</v>
      </c>
      <c r="P56" t="s">
        <v>260</v>
      </c>
      <c r="Q56">
        <v>1</v>
      </c>
      <c r="Y56">
        <v>0</v>
      </c>
      <c r="AA56">
        <v>6.19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110</v>
      </c>
      <c r="AU56" t="s">
        <v>29</v>
      </c>
      <c r="AV56">
        <v>0</v>
      </c>
      <c r="AW56">
        <v>2</v>
      </c>
      <c r="AX56">
        <v>23635232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ROW(Source!A44)</f>
        <v>44</v>
      </c>
      <c r="B57">
        <v>23635877</v>
      </c>
      <c r="C57">
        <v>23635876</v>
      </c>
      <c r="D57">
        <v>21063220</v>
      </c>
      <c r="E57">
        <v>1</v>
      </c>
      <c r="F57">
        <v>1</v>
      </c>
      <c r="G57">
        <v>1</v>
      </c>
      <c r="H57">
        <v>1</v>
      </c>
      <c r="I57" t="s">
        <v>244</v>
      </c>
      <c r="K57" t="s">
        <v>245</v>
      </c>
      <c r="L57">
        <v>1369</v>
      </c>
      <c r="N57">
        <v>1013</v>
      </c>
      <c r="O57" t="s">
        <v>202</v>
      </c>
      <c r="P57" t="s">
        <v>202</v>
      </c>
      <c r="Q57">
        <v>1</v>
      </c>
      <c r="Y57">
        <v>20.8</v>
      </c>
      <c r="AA57">
        <v>0</v>
      </c>
      <c r="AB57">
        <v>0</v>
      </c>
      <c r="AC57">
        <v>0</v>
      </c>
      <c r="AD57">
        <v>7.8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20.8</v>
      </c>
      <c r="AV57">
        <v>1</v>
      </c>
      <c r="AW57">
        <v>2</v>
      </c>
      <c r="AX57">
        <v>23635879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ROW(Source!A44)</f>
        <v>44</v>
      </c>
      <c r="B58">
        <v>23635878</v>
      </c>
      <c r="C58">
        <v>23635876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37</v>
      </c>
      <c r="K58" t="s">
        <v>203</v>
      </c>
      <c r="L58">
        <v>608254</v>
      </c>
      <c r="N58">
        <v>1013</v>
      </c>
      <c r="O58" t="s">
        <v>204</v>
      </c>
      <c r="P58" t="s">
        <v>204</v>
      </c>
      <c r="Q58">
        <v>1</v>
      </c>
      <c r="Y58">
        <v>0</v>
      </c>
      <c r="AA58">
        <v>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</v>
      </c>
      <c r="AV58">
        <v>2</v>
      </c>
      <c r="AW58">
        <v>2</v>
      </c>
      <c r="AX58">
        <v>23635880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ROW(Source!A45)</f>
        <v>45</v>
      </c>
      <c r="B59">
        <v>23635234</v>
      </c>
      <c r="C59">
        <v>23635233</v>
      </c>
      <c r="D59">
        <v>21071108</v>
      </c>
      <c r="E59">
        <v>1</v>
      </c>
      <c r="F59">
        <v>1</v>
      </c>
      <c r="G59">
        <v>1</v>
      </c>
      <c r="H59">
        <v>1</v>
      </c>
      <c r="I59" t="s">
        <v>280</v>
      </c>
      <c r="K59" t="s">
        <v>281</v>
      </c>
      <c r="L59">
        <v>1369</v>
      </c>
      <c r="N59">
        <v>1013</v>
      </c>
      <c r="O59" t="s">
        <v>202</v>
      </c>
      <c r="P59" t="s">
        <v>202</v>
      </c>
      <c r="Q59">
        <v>1</v>
      </c>
      <c r="Y59">
        <v>32.03</v>
      </c>
      <c r="AA59">
        <v>0</v>
      </c>
      <c r="AB59">
        <v>0</v>
      </c>
      <c r="AC59">
        <v>0</v>
      </c>
      <c r="AD59">
        <v>9.92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32.03</v>
      </c>
      <c r="AV59">
        <v>1</v>
      </c>
      <c r="AW59">
        <v>2</v>
      </c>
      <c r="AX59">
        <v>23635246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ROW(Source!A45)</f>
        <v>45</v>
      </c>
      <c r="B60">
        <v>23635235</v>
      </c>
      <c r="C60">
        <v>23635233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37</v>
      </c>
      <c r="K60" t="s">
        <v>203</v>
      </c>
      <c r="L60">
        <v>608254</v>
      </c>
      <c r="N60">
        <v>1013</v>
      </c>
      <c r="O60" t="s">
        <v>204</v>
      </c>
      <c r="P60" t="s">
        <v>204</v>
      </c>
      <c r="Q60">
        <v>1</v>
      </c>
      <c r="Y60">
        <v>0</v>
      </c>
      <c r="AA60">
        <v>0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</v>
      </c>
      <c r="AV60">
        <v>2</v>
      </c>
      <c r="AW60">
        <v>2</v>
      </c>
      <c r="AX60">
        <v>23635247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ROW(Source!A45)</f>
        <v>45</v>
      </c>
      <c r="B61">
        <v>23635236</v>
      </c>
      <c r="C61">
        <v>23635233</v>
      </c>
      <c r="D61">
        <v>21012051</v>
      </c>
      <c r="E61">
        <v>1</v>
      </c>
      <c r="F61">
        <v>1</v>
      </c>
      <c r="G61">
        <v>1</v>
      </c>
      <c r="H61">
        <v>2</v>
      </c>
      <c r="I61" t="s">
        <v>282</v>
      </c>
      <c r="J61" t="s">
        <v>283</v>
      </c>
      <c r="K61" t="s">
        <v>284</v>
      </c>
      <c r="L61">
        <v>1368</v>
      </c>
      <c r="N61">
        <v>1011</v>
      </c>
      <c r="O61" t="s">
        <v>208</v>
      </c>
      <c r="P61" t="s">
        <v>208</v>
      </c>
      <c r="Q61">
        <v>1</v>
      </c>
      <c r="Y61">
        <v>8.02</v>
      </c>
      <c r="AA61">
        <v>0</v>
      </c>
      <c r="AB61">
        <v>3.7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8.02</v>
      </c>
      <c r="AV61">
        <v>0</v>
      </c>
      <c r="AW61">
        <v>2</v>
      </c>
      <c r="AX61">
        <v>23635248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ROW(Source!A45)</f>
        <v>45</v>
      </c>
      <c r="B62">
        <v>23635237</v>
      </c>
      <c r="C62">
        <v>23635233</v>
      </c>
      <c r="D62">
        <v>21013319</v>
      </c>
      <c r="E62">
        <v>1</v>
      </c>
      <c r="F62">
        <v>1</v>
      </c>
      <c r="G62">
        <v>1</v>
      </c>
      <c r="H62">
        <v>2</v>
      </c>
      <c r="I62" t="s">
        <v>285</v>
      </c>
      <c r="J62" t="s">
        <v>286</v>
      </c>
      <c r="K62" t="s">
        <v>287</v>
      </c>
      <c r="L62">
        <v>1368</v>
      </c>
      <c r="N62">
        <v>1011</v>
      </c>
      <c r="O62" t="s">
        <v>208</v>
      </c>
      <c r="P62" t="s">
        <v>208</v>
      </c>
      <c r="Q62">
        <v>1</v>
      </c>
      <c r="Y62">
        <v>8.02</v>
      </c>
      <c r="AA62">
        <v>0</v>
      </c>
      <c r="AB62">
        <v>35.61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8.02</v>
      </c>
      <c r="AV62">
        <v>0</v>
      </c>
      <c r="AW62">
        <v>2</v>
      </c>
      <c r="AX62">
        <v>23635249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ROW(Source!A45)</f>
        <v>45</v>
      </c>
      <c r="B63">
        <v>23635238</v>
      </c>
      <c r="C63">
        <v>23635233</v>
      </c>
      <c r="D63">
        <v>21013544</v>
      </c>
      <c r="E63">
        <v>1</v>
      </c>
      <c r="F63">
        <v>1</v>
      </c>
      <c r="G63">
        <v>1</v>
      </c>
      <c r="H63">
        <v>2</v>
      </c>
      <c r="I63" t="s">
        <v>212</v>
      </c>
      <c r="J63" t="s">
        <v>213</v>
      </c>
      <c r="K63" t="s">
        <v>214</v>
      </c>
      <c r="L63">
        <v>1368</v>
      </c>
      <c r="N63">
        <v>1011</v>
      </c>
      <c r="O63" t="s">
        <v>208</v>
      </c>
      <c r="P63" t="s">
        <v>208</v>
      </c>
      <c r="Q63">
        <v>1</v>
      </c>
      <c r="Y63">
        <v>0.34</v>
      </c>
      <c r="AA63">
        <v>0</v>
      </c>
      <c r="AB63">
        <v>87.17</v>
      </c>
      <c r="AC63">
        <v>11.6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0.34</v>
      </c>
      <c r="AV63">
        <v>0</v>
      </c>
      <c r="AW63">
        <v>2</v>
      </c>
      <c r="AX63">
        <v>23635250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ROW(Source!A45)</f>
        <v>45</v>
      </c>
      <c r="B64">
        <v>23635239</v>
      </c>
      <c r="C64">
        <v>23635233</v>
      </c>
      <c r="D64">
        <v>21015632</v>
      </c>
      <c r="E64">
        <v>1</v>
      </c>
      <c r="F64">
        <v>1</v>
      </c>
      <c r="G64">
        <v>1</v>
      </c>
      <c r="H64">
        <v>3</v>
      </c>
      <c r="I64" t="s">
        <v>288</v>
      </c>
      <c r="J64" t="s">
        <v>289</v>
      </c>
      <c r="K64" t="s">
        <v>290</v>
      </c>
      <c r="L64">
        <v>1346</v>
      </c>
      <c r="N64">
        <v>1009</v>
      </c>
      <c r="O64" t="s">
        <v>76</v>
      </c>
      <c r="P64" t="s">
        <v>76</v>
      </c>
      <c r="Q64">
        <v>1</v>
      </c>
      <c r="Y64">
        <v>0</v>
      </c>
      <c r="AA64">
        <v>8.95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0.0004</v>
      </c>
      <c r="AU64" t="s">
        <v>29</v>
      </c>
      <c r="AV64">
        <v>0</v>
      </c>
      <c r="AW64">
        <v>2</v>
      </c>
      <c r="AX64">
        <v>23635251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ROW(Source!A45)</f>
        <v>45</v>
      </c>
      <c r="B65">
        <v>23635240</v>
      </c>
      <c r="C65">
        <v>23635233</v>
      </c>
      <c r="D65">
        <v>21016607</v>
      </c>
      <c r="E65">
        <v>1</v>
      </c>
      <c r="F65">
        <v>1</v>
      </c>
      <c r="G65">
        <v>1</v>
      </c>
      <c r="H65">
        <v>3</v>
      </c>
      <c r="I65" t="s">
        <v>291</v>
      </c>
      <c r="J65" t="s">
        <v>292</v>
      </c>
      <c r="K65" t="s">
        <v>105</v>
      </c>
      <c r="L65">
        <v>1346</v>
      </c>
      <c r="N65">
        <v>1009</v>
      </c>
      <c r="O65" t="s">
        <v>76</v>
      </c>
      <c r="P65" t="s">
        <v>76</v>
      </c>
      <c r="Q65">
        <v>1</v>
      </c>
      <c r="Y65">
        <v>0</v>
      </c>
      <c r="AA65">
        <v>112.33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0.526</v>
      </c>
      <c r="AU65" t="s">
        <v>29</v>
      </c>
      <c r="AV65">
        <v>0</v>
      </c>
      <c r="AW65">
        <v>2</v>
      </c>
      <c r="AX65">
        <v>23635252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ROW(Source!A45)</f>
        <v>45</v>
      </c>
      <c r="B66">
        <v>23635241</v>
      </c>
      <c r="C66">
        <v>23635233</v>
      </c>
      <c r="D66">
        <v>21019230</v>
      </c>
      <c r="E66">
        <v>1</v>
      </c>
      <c r="F66">
        <v>1</v>
      </c>
      <c r="G66">
        <v>1</v>
      </c>
      <c r="H66">
        <v>3</v>
      </c>
      <c r="I66" t="s">
        <v>293</v>
      </c>
      <c r="J66" t="s">
        <v>294</v>
      </c>
      <c r="K66" t="s">
        <v>295</v>
      </c>
      <c r="L66">
        <v>1346</v>
      </c>
      <c r="N66">
        <v>1009</v>
      </c>
      <c r="O66" t="s">
        <v>76</v>
      </c>
      <c r="P66" t="s">
        <v>76</v>
      </c>
      <c r="Q66">
        <v>1</v>
      </c>
      <c r="Y66">
        <v>0</v>
      </c>
      <c r="AA66">
        <v>18.39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5</v>
      </c>
      <c r="AU66" t="s">
        <v>29</v>
      </c>
      <c r="AV66">
        <v>0</v>
      </c>
      <c r="AW66">
        <v>2</v>
      </c>
      <c r="AX66">
        <v>23635253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ROW(Source!A45)</f>
        <v>45</v>
      </c>
      <c r="B67">
        <v>23635242</v>
      </c>
      <c r="C67">
        <v>23635233</v>
      </c>
      <c r="D67">
        <v>21019231</v>
      </c>
      <c r="E67">
        <v>1</v>
      </c>
      <c r="F67">
        <v>1</v>
      </c>
      <c r="G67">
        <v>1</v>
      </c>
      <c r="H67">
        <v>3</v>
      </c>
      <c r="I67" t="s">
        <v>296</v>
      </c>
      <c r="J67" t="s">
        <v>297</v>
      </c>
      <c r="K67" t="s">
        <v>298</v>
      </c>
      <c r="L67">
        <v>1346</v>
      </c>
      <c r="N67">
        <v>1009</v>
      </c>
      <c r="O67" t="s">
        <v>76</v>
      </c>
      <c r="P67" t="s">
        <v>76</v>
      </c>
      <c r="Q67">
        <v>1</v>
      </c>
      <c r="Y67">
        <v>0</v>
      </c>
      <c r="AA67">
        <v>65.3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3</v>
      </c>
      <c r="AU67" t="s">
        <v>29</v>
      </c>
      <c r="AV67">
        <v>0</v>
      </c>
      <c r="AW67">
        <v>2</v>
      </c>
      <c r="AX67">
        <v>23635254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ROW(Source!A45)</f>
        <v>45</v>
      </c>
      <c r="B68">
        <v>23635243</v>
      </c>
      <c r="C68">
        <v>23635233</v>
      </c>
      <c r="D68">
        <v>21019235</v>
      </c>
      <c r="E68">
        <v>1</v>
      </c>
      <c r="F68">
        <v>1</v>
      </c>
      <c r="G68">
        <v>1</v>
      </c>
      <c r="H68">
        <v>3</v>
      </c>
      <c r="I68" t="s">
        <v>299</v>
      </c>
      <c r="J68" t="s">
        <v>300</v>
      </c>
      <c r="K68" t="s">
        <v>301</v>
      </c>
      <c r="L68">
        <v>1346</v>
      </c>
      <c r="N68">
        <v>1009</v>
      </c>
      <c r="O68" t="s">
        <v>76</v>
      </c>
      <c r="P68" t="s">
        <v>76</v>
      </c>
      <c r="Q68">
        <v>1</v>
      </c>
      <c r="Y68">
        <v>0</v>
      </c>
      <c r="AA68">
        <v>58.1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42.84</v>
      </c>
      <c r="AU68" t="s">
        <v>29</v>
      </c>
      <c r="AV68">
        <v>0</v>
      </c>
      <c r="AW68">
        <v>2</v>
      </c>
      <c r="AX68">
        <v>23635255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ROW(Source!A45)</f>
        <v>45</v>
      </c>
      <c r="B69">
        <v>23635244</v>
      </c>
      <c r="C69">
        <v>23635233</v>
      </c>
      <c r="D69">
        <v>21019236</v>
      </c>
      <c r="E69">
        <v>1</v>
      </c>
      <c r="F69">
        <v>1</v>
      </c>
      <c r="G69">
        <v>1</v>
      </c>
      <c r="H69">
        <v>3</v>
      </c>
      <c r="I69" t="s">
        <v>302</v>
      </c>
      <c r="J69" t="s">
        <v>303</v>
      </c>
      <c r="K69" t="s">
        <v>304</v>
      </c>
      <c r="L69">
        <v>1346</v>
      </c>
      <c r="N69">
        <v>1009</v>
      </c>
      <c r="O69" t="s">
        <v>76</v>
      </c>
      <c r="P69" t="s">
        <v>76</v>
      </c>
      <c r="Q69">
        <v>1</v>
      </c>
      <c r="Y69">
        <v>0</v>
      </c>
      <c r="AA69">
        <v>51.8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41.16</v>
      </c>
      <c r="AU69" t="s">
        <v>29</v>
      </c>
      <c r="AV69">
        <v>0</v>
      </c>
      <c r="AW69">
        <v>2</v>
      </c>
      <c r="AX69">
        <v>23635256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ROW(Source!A45)</f>
        <v>45</v>
      </c>
      <c r="B70">
        <v>23635245</v>
      </c>
      <c r="C70">
        <v>23635233</v>
      </c>
      <c r="D70">
        <v>21020636</v>
      </c>
      <c r="E70">
        <v>1</v>
      </c>
      <c r="F70">
        <v>1</v>
      </c>
      <c r="G70">
        <v>1</v>
      </c>
      <c r="H70">
        <v>3</v>
      </c>
      <c r="I70" t="s">
        <v>107</v>
      </c>
      <c r="J70" t="s">
        <v>110</v>
      </c>
      <c r="K70" t="s">
        <v>108</v>
      </c>
      <c r="L70">
        <v>1348</v>
      </c>
      <c r="N70">
        <v>1009</v>
      </c>
      <c r="O70" t="s">
        <v>109</v>
      </c>
      <c r="P70" t="s">
        <v>109</v>
      </c>
      <c r="Q70">
        <v>1000</v>
      </c>
      <c r="Y70">
        <v>0</v>
      </c>
      <c r="AA70">
        <v>23499.99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0.0006</v>
      </c>
      <c r="AU70" t="s">
        <v>29</v>
      </c>
      <c r="AV70">
        <v>0</v>
      </c>
      <c r="AW70">
        <v>2</v>
      </c>
      <c r="AX70">
        <v>23635257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6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ROW(Source!A32)</f>
        <v>32</v>
      </c>
      <c r="B1">
        <v>23635139</v>
      </c>
      <c r="C1">
        <v>23635129</v>
      </c>
      <c r="D1">
        <v>21071197</v>
      </c>
      <c r="E1">
        <v>1</v>
      </c>
      <c r="F1">
        <v>1</v>
      </c>
      <c r="G1">
        <v>1</v>
      </c>
      <c r="H1">
        <v>1</v>
      </c>
      <c r="I1" t="s">
        <v>200</v>
      </c>
      <c r="K1" t="s">
        <v>201</v>
      </c>
      <c r="L1">
        <v>1369</v>
      </c>
      <c r="N1">
        <v>1013</v>
      </c>
      <c r="O1" t="s">
        <v>202</v>
      </c>
      <c r="P1" t="s">
        <v>202</v>
      </c>
      <c r="Q1">
        <v>1</v>
      </c>
      <c r="X1">
        <v>2.94</v>
      </c>
      <c r="Y1">
        <v>0</v>
      </c>
      <c r="Z1">
        <v>0</v>
      </c>
      <c r="AA1">
        <v>0</v>
      </c>
      <c r="AB1">
        <v>9.76</v>
      </c>
      <c r="AC1">
        <v>0</v>
      </c>
      <c r="AD1">
        <v>1</v>
      </c>
      <c r="AE1">
        <v>1</v>
      </c>
      <c r="AF1" t="s">
        <v>30</v>
      </c>
      <c r="AG1">
        <v>1.176</v>
      </c>
      <c r="AH1">
        <v>2</v>
      </c>
      <c r="AI1">
        <v>23635130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ROW(Source!A32)</f>
        <v>32</v>
      </c>
      <c r="B2">
        <v>23635140</v>
      </c>
      <c r="C2">
        <v>23635129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37</v>
      </c>
      <c r="K2" t="s">
        <v>203</v>
      </c>
      <c r="L2">
        <v>608254</v>
      </c>
      <c r="N2">
        <v>1013</v>
      </c>
      <c r="O2" t="s">
        <v>204</v>
      </c>
      <c r="P2" t="s">
        <v>204</v>
      </c>
      <c r="Q2">
        <v>1</v>
      </c>
      <c r="X2">
        <v>0.01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30</v>
      </c>
      <c r="AG2">
        <v>0.004</v>
      </c>
      <c r="AH2">
        <v>2</v>
      </c>
      <c r="AI2">
        <v>23635131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ROW(Source!A32)</f>
        <v>32</v>
      </c>
      <c r="B3">
        <v>23635141</v>
      </c>
      <c r="C3">
        <v>23635129</v>
      </c>
      <c r="D3">
        <v>21011724</v>
      </c>
      <c r="E3">
        <v>1</v>
      </c>
      <c r="F3">
        <v>1</v>
      </c>
      <c r="G3">
        <v>1</v>
      </c>
      <c r="H3">
        <v>2</v>
      </c>
      <c r="I3" t="s">
        <v>205</v>
      </c>
      <c r="J3" t="s">
        <v>206</v>
      </c>
      <c r="K3" t="s">
        <v>207</v>
      </c>
      <c r="L3">
        <v>1368</v>
      </c>
      <c r="N3">
        <v>1011</v>
      </c>
      <c r="O3" t="s">
        <v>208</v>
      </c>
      <c r="P3" t="s">
        <v>208</v>
      </c>
      <c r="Q3">
        <v>1</v>
      </c>
      <c r="X3">
        <v>0.01</v>
      </c>
      <c r="Y3">
        <v>0</v>
      </c>
      <c r="Z3">
        <v>86.4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30</v>
      </c>
      <c r="AG3">
        <v>0.004</v>
      </c>
      <c r="AH3">
        <v>2</v>
      </c>
      <c r="AI3">
        <v>23635132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ROW(Source!A32)</f>
        <v>32</v>
      </c>
      <c r="B4">
        <v>23635142</v>
      </c>
      <c r="C4">
        <v>23635129</v>
      </c>
      <c r="D4">
        <v>21012008</v>
      </c>
      <c r="E4">
        <v>1</v>
      </c>
      <c r="F4">
        <v>1</v>
      </c>
      <c r="G4">
        <v>1</v>
      </c>
      <c r="H4">
        <v>2</v>
      </c>
      <c r="I4" t="s">
        <v>209</v>
      </c>
      <c r="J4" t="s">
        <v>210</v>
      </c>
      <c r="K4" t="s">
        <v>211</v>
      </c>
      <c r="L4">
        <v>1368</v>
      </c>
      <c r="N4">
        <v>1011</v>
      </c>
      <c r="O4" t="s">
        <v>208</v>
      </c>
      <c r="P4" t="s">
        <v>208</v>
      </c>
      <c r="Q4">
        <v>1</v>
      </c>
      <c r="X4">
        <v>1.6</v>
      </c>
      <c r="Y4">
        <v>0</v>
      </c>
      <c r="Z4">
        <v>8.1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30</v>
      </c>
      <c r="AG4">
        <v>0.6400000000000001</v>
      </c>
      <c r="AH4">
        <v>2</v>
      </c>
      <c r="AI4">
        <v>23635133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ROW(Source!A32)</f>
        <v>32</v>
      </c>
      <c r="B5">
        <v>23635143</v>
      </c>
      <c r="C5">
        <v>23635129</v>
      </c>
      <c r="D5">
        <v>21013544</v>
      </c>
      <c r="E5">
        <v>1</v>
      </c>
      <c r="F5">
        <v>1</v>
      </c>
      <c r="G5">
        <v>1</v>
      </c>
      <c r="H5">
        <v>2</v>
      </c>
      <c r="I5" t="s">
        <v>212</v>
      </c>
      <c r="J5" t="s">
        <v>213</v>
      </c>
      <c r="K5" t="s">
        <v>214</v>
      </c>
      <c r="L5">
        <v>1368</v>
      </c>
      <c r="N5">
        <v>1011</v>
      </c>
      <c r="O5" t="s">
        <v>208</v>
      </c>
      <c r="P5" t="s">
        <v>208</v>
      </c>
      <c r="Q5">
        <v>1</v>
      </c>
      <c r="X5">
        <v>0.01</v>
      </c>
      <c r="Y5">
        <v>0</v>
      </c>
      <c r="Z5">
        <v>87.17</v>
      </c>
      <c r="AA5">
        <v>11.6</v>
      </c>
      <c r="AB5">
        <v>0</v>
      </c>
      <c r="AC5">
        <v>0</v>
      </c>
      <c r="AD5">
        <v>1</v>
      </c>
      <c r="AE5">
        <v>0</v>
      </c>
      <c r="AF5" t="s">
        <v>30</v>
      </c>
      <c r="AG5">
        <v>0.004</v>
      </c>
      <c r="AH5">
        <v>2</v>
      </c>
      <c r="AI5">
        <v>23635134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ROW(Source!A32)</f>
        <v>32</v>
      </c>
      <c r="B6">
        <v>23635144</v>
      </c>
      <c r="C6">
        <v>23635129</v>
      </c>
      <c r="D6">
        <v>21014523</v>
      </c>
      <c r="E6">
        <v>1</v>
      </c>
      <c r="F6">
        <v>1</v>
      </c>
      <c r="G6">
        <v>1</v>
      </c>
      <c r="H6">
        <v>3</v>
      </c>
      <c r="I6" t="s">
        <v>215</v>
      </c>
      <c r="J6" t="s">
        <v>216</v>
      </c>
      <c r="K6" t="s">
        <v>217</v>
      </c>
      <c r="L6">
        <v>1348</v>
      </c>
      <c r="N6">
        <v>1009</v>
      </c>
      <c r="O6" t="s">
        <v>109</v>
      </c>
      <c r="P6" t="s">
        <v>109</v>
      </c>
      <c r="Q6">
        <v>1000</v>
      </c>
      <c r="X6">
        <v>6E-05</v>
      </c>
      <c r="Y6">
        <v>30029.99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29</v>
      </c>
      <c r="AG6">
        <v>0</v>
      </c>
      <c r="AH6">
        <v>2</v>
      </c>
      <c r="AI6">
        <v>23635135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ROW(Source!A32)</f>
        <v>32</v>
      </c>
      <c r="B7">
        <v>23635145</v>
      </c>
      <c r="C7">
        <v>23635129</v>
      </c>
      <c r="D7">
        <v>21015184</v>
      </c>
      <c r="E7">
        <v>1</v>
      </c>
      <c r="F7">
        <v>1</v>
      </c>
      <c r="G7">
        <v>1</v>
      </c>
      <c r="H7">
        <v>3</v>
      </c>
      <c r="I7" t="s">
        <v>218</v>
      </c>
      <c r="J7" t="s">
        <v>219</v>
      </c>
      <c r="K7" t="s">
        <v>220</v>
      </c>
      <c r="L7">
        <v>1348</v>
      </c>
      <c r="N7">
        <v>1009</v>
      </c>
      <c r="O7" t="s">
        <v>109</v>
      </c>
      <c r="P7" t="s">
        <v>109</v>
      </c>
      <c r="Q7">
        <v>1000</v>
      </c>
      <c r="X7">
        <v>0.00016</v>
      </c>
      <c r="Y7">
        <v>1836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29</v>
      </c>
      <c r="AG7">
        <v>0</v>
      </c>
      <c r="AH7">
        <v>2</v>
      </c>
      <c r="AI7">
        <v>23635136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ROW(Source!A32)</f>
        <v>32</v>
      </c>
      <c r="B8">
        <v>23635146</v>
      </c>
      <c r="C8">
        <v>23635129</v>
      </c>
      <c r="D8">
        <v>21015243</v>
      </c>
      <c r="E8">
        <v>1</v>
      </c>
      <c r="F8">
        <v>1</v>
      </c>
      <c r="G8">
        <v>1</v>
      </c>
      <c r="H8">
        <v>3</v>
      </c>
      <c r="I8" t="s">
        <v>221</v>
      </c>
      <c r="J8" t="s">
        <v>222</v>
      </c>
      <c r="K8" t="s">
        <v>223</v>
      </c>
      <c r="L8">
        <v>1348</v>
      </c>
      <c r="N8">
        <v>1009</v>
      </c>
      <c r="O8" t="s">
        <v>109</v>
      </c>
      <c r="P8" t="s">
        <v>109</v>
      </c>
      <c r="Q8">
        <v>1000</v>
      </c>
      <c r="X8">
        <v>0.00019</v>
      </c>
      <c r="Y8">
        <v>10362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29</v>
      </c>
      <c r="AG8">
        <v>0</v>
      </c>
      <c r="AH8">
        <v>2</v>
      </c>
      <c r="AI8">
        <v>23635137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ROW(Source!A32)</f>
        <v>32</v>
      </c>
      <c r="B9">
        <v>23635147</v>
      </c>
      <c r="C9">
        <v>23635129</v>
      </c>
      <c r="D9">
        <v>21027681</v>
      </c>
      <c r="E9">
        <v>1</v>
      </c>
      <c r="F9">
        <v>1</v>
      </c>
      <c r="G9">
        <v>1</v>
      </c>
      <c r="H9">
        <v>3</v>
      </c>
      <c r="I9" t="s">
        <v>224</v>
      </c>
      <c r="J9" t="s">
        <v>225</v>
      </c>
      <c r="K9" t="s">
        <v>226</v>
      </c>
      <c r="L9">
        <v>1354</v>
      </c>
      <c r="N9">
        <v>1010</v>
      </c>
      <c r="O9" t="s">
        <v>27</v>
      </c>
      <c r="P9" t="s">
        <v>27</v>
      </c>
      <c r="Q9">
        <v>1</v>
      </c>
      <c r="X9">
        <v>1</v>
      </c>
      <c r="Y9">
        <v>344.01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29</v>
      </c>
      <c r="AG9">
        <v>0</v>
      </c>
      <c r="AH9">
        <v>2</v>
      </c>
      <c r="AI9">
        <v>23635138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ROW(Source!A33)</f>
        <v>33</v>
      </c>
      <c r="B10">
        <v>23635158</v>
      </c>
      <c r="C10">
        <v>23635148</v>
      </c>
      <c r="D10">
        <v>21071197</v>
      </c>
      <c r="E10">
        <v>1</v>
      </c>
      <c r="F10">
        <v>1</v>
      </c>
      <c r="G10">
        <v>1</v>
      </c>
      <c r="H10">
        <v>1</v>
      </c>
      <c r="I10" t="s">
        <v>200</v>
      </c>
      <c r="K10" t="s">
        <v>201</v>
      </c>
      <c r="L10">
        <v>1369</v>
      </c>
      <c r="N10">
        <v>1013</v>
      </c>
      <c r="O10" t="s">
        <v>202</v>
      </c>
      <c r="P10" t="s">
        <v>202</v>
      </c>
      <c r="Q10">
        <v>1</v>
      </c>
      <c r="X10">
        <v>2.94</v>
      </c>
      <c r="Y10">
        <v>0</v>
      </c>
      <c r="Z10">
        <v>0</v>
      </c>
      <c r="AA10">
        <v>0</v>
      </c>
      <c r="AB10">
        <v>9.76</v>
      </c>
      <c r="AC10">
        <v>0</v>
      </c>
      <c r="AD10">
        <v>1</v>
      </c>
      <c r="AE10">
        <v>1</v>
      </c>
      <c r="AG10">
        <v>2.94</v>
      </c>
      <c r="AH10">
        <v>2</v>
      </c>
      <c r="AI10">
        <v>23635149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ROW(Source!A33)</f>
        <v>33</v>
      </c>
      <c r="B11">
        <v>23635159</v>
      </c>
      <c r="C11">
        <v>23635148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37</v>
      </c>
      <c r="K11" t="s">
        <v>203</v>
      </c>
      <c r="L11">
        <v>608254</v>
      </c>
      <c r="N11">
        <v>1013</v>
      </c>
      <c r="O11" t="s">
        <v>204</v>
      </c>
      <c r="P11" t="s">
        <v>204</v>
      </c>
      <c r="Q11">
        <v>1</v>
      </c>
      <c r="X11">
        <v>0.01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G11">
        <v>0.01</v>
      </c>
      <c r="AH11">
        <v>2</v>
      </c>
      <c r="AI11">
        <v>23635150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ROW(Source!A33)</f>
        <v>33</v>
      </c>
      <c r="B12">
        <v>23635160</v>
      </c>
      <c r="C12">
        <v>23635148</v>
      </c>
      <c r="D12">
        <v>21011724</v>
      </c>
      <c r="E12">
        <v>1</v>
      </c>
      <c r="F12">
        <v>1</v>
      </c>
      <c r="G12">
        <v>1</v>
      </c>
      <c r="H12">
        <v>2</v>
      </c>
      <c r="I12" t="s">
        <v>205</v>
      </c>
      <c r="J12" t="s">
        <v>206</v>
      </c>
      <c r="K12" t="s">
        <v>207</v>
      </c>
      <c r="L12">
        <v>1368</v>
      </c>
      <c r="N12">
        <v>1011</v>
      </c>
      <c r="O12" t="s">
        <v>208</v>
      </c>
      <c r="P12" t="s">
        <v>208</v>
      </c>
      <c r="Q12">
        <v>1</v>
      </c>
      <c r="X12">
        <v>0.01</v>
      </c>
      <c r="Y12">
        <v>0</v>
      </c>
      <c r="Z12">
        <v>86.4</v>
      </c>
      <c r="AA12">
        <v>13.5</v>
      </c>
      <c r="AB12">
        <v>0</v>
      </c>
      <c r="AC12">
        <v>0</v>
      </c>
      <c r="AD12">
        <v>1</v>
      </c>
      <c r="AE12">
        <v>0</v>
      </c>
      <c r="AG12">
        <v>0.01</v>
      </c>
      <c r="AH12">
        <v>2</v>
      </c>
      <c r="AI12">
        <v>23635151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ROW(Source!A33)</f>
        <v>33</v>
      </c>
      <c r="B13">
        <v>23635161</v>
      </c>
      <c r="C13">
        <v>23635148</v>
      </c>
      <c r="D13">
        <v>21012008</v>
      </c>
      <c r="E13">
        <v>1</v>
      </c>
      <c r="F13">
        <v>1</v>
      </c>
      <c r="G13">
        <v>1</v>
      </c>
      <c r="H13">
        <v>2</v>
      </c>
      <c r="I13" t="s">
        <v>209</v>
      </c>
      <c r="J13" t="s">
        <v>210</v>
      </c>
      <c r="K13" t="s">
        <v>211</v>
      </c>
      <c r="L13">
        <v>1368</v>
      </c>
      <c r="N13">
        <v>1011</v>
      </c>
      <c r="O13" t="s">
        <v>208</v>
      </c>
      <c r="P13" t="s">
        <v>208</v>
      </c>
      <c r="Q13">
        <v>1</v>
      </c>
      <c r="X13">
        <v>1.6</v>
      </c>
      <c r="Y13">
        <v>0</v>
      </c>
      <c r="Z13">
        <v>8.1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1.6</v>
      </c>
      <c r="AH13">
        <v>2</v>
      </c>
      <c r="AI13">
        <v>23635152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ROW(Source!A33)</f>
        <v>33</v>
      </c>
      <c r="B14">
        <v>23635162</v>
      </c>
      <c r="C14">
        <v>23635148</v>
      </c>
      <c r="D14">
        <v>21013544</v>
      </c>
      <c r="E14">
        <v>1</v>
      </c>
      <c r="F14">
        <v>1</v>
      </c>
      <c r="G14">
        <v>1</v>
      </c>
      <c r="H14">
        <v>2</v>
      </c>
      <c r="I14" t="s">
        <v>212</v>
      </c>
      <c r="J14" t="s">
        <v>213</v>
      </c>
      <c r="K14" t="s">
        <v>214</v>
      </c>
      <c r="L14">
        <v>1368</v>
      </c>
      <c r="N14">
        <v>1011</v>
      </c>
      <c r="O14" t="s">
        <v>208</v>
      </c>
      <c r="P14" t="s">
        <v>208</v>
      </c>
      <c r="Q14">
        <v>1</v>
      </c>
      <c r="X14">
        <v>0.01</v>
      </c>
      <c r="Y14">
        <v>0</v>
      </c>
      <c r="Z14">
        <v>87.17</v>
      </c>
      <c r="AA14">
        <v>11.6</v>
      </c>
      <c r="AB14">
        <v>0</v>
      </c>
      <c r="AC14">
        <v>0</v>
      </c>
      <c r="AD14">
        <v>1</v>
      </c>
      <c r="AE14">
        <v>0</v>
      </c>
      <c r="AG14">
        <v>0.01</v>
      </c>
      <c r="AH14">
        <v>2</v>
      </c>
      <c r="AI14">
        <v>23635153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ROW(Source!A33)</f>
        <v>33</v>
      </c>
      <c r="B15">
        <v>23635163</v>
      </c>
      <c r="C15">
        <v>23635148</v>
      </c>
      <c r="D15">
        <v>21014523</v>
      </c>
      <c r="E15">
        <v>1</v>
      </c>
      <c r="F15">
        <v>1</v>
      </c>
      <c r="G15">
        <v>1</v>
      </c>
      <c r="H15">
        <v>3</v>
      </c>
      <c r="I15" t="s">
        <v>215</v>
      </c>
      <c r="J15" t="s">
        <v>216</v>
      </c>
      <c r="K15" t="s">
        <v>217</v>
      </c>
      <c r="L15">
        <v>1348</v>
      </c>
      <c r="N15">
        <v>1009</v>
      </c>
      <c r="O15" t="s">
        <v>109</v>
      </c>
      <c r="P15" t="s">
        <v>109</v>
      </c>
      <c r="Q15">
        <v>1000</v>
      </c>
      <c r="X15">
        <v>6E-05</v>
      </c>
      <c r="Y15">
        <v>30029.99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29</v>
      </c>
      <c r="AG15">
        <v>0</v>
      </c>
      <c r="AH15">
        <v>2</v>
      </c>
      <c r="AI15">
        <v>23635154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ROW(Source!A33)</f>
        <v>33</v>
      </c>
      <c r="B16">
        <v>23635164</v>
      </c>
      <c r="C16">
        <v>23635148</v>
      </c>
      <c r="D16">
        <v>21015184</v>
      </c>
      <c r="E16">
        <v>1</v>
      </c>
      <c r="F16">
        <v>1</v>
      </c>
      <c r="G16">
        <v>1</v>
      </c>
      <c r="H16">
        <v>3</v>
      </c>
      <c r="I16" t="s">
        <v>218</v>
      </c>
      <c r="J16" t="s">
        <v>219</v>
      </c>
      <c r="K16" t="s">
        <v>220</v>
      </c>
      <c r="L16">
        <v>1348</v>
      </c>
      <c r="N16">
        <v>1009</v>
      </c>
      <c r="O16" t="s">
        <v>109</v>
      </c>
      <c r="P16" t="s">
        <v>109</v>
      </c>
      <c r="Q16">
        <v>1000</v>
      </c>
      <c r="X16">
        <v>0.00016</v>
      </c>
      <c r="Y16">
        <v>1836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29</v>
      </c>
      <c r="AG16">
        <v>0</v>
      </c>
      <c r="AH16">
        <v>2</v>
      </c>
      <c r="AI16">
        <v>23635155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ROW(Source!A33)</f>
        <v>33</v>
      </c>
      <c r="B17">
        <v>23635165</v>
      </c>
      <c r="C17">
        <v>23635148</v>
      </c>
      <c r="D17">
        <v>21015243</v>
      </c>
      <c r="E17">
        <v>1</v>
      </c>
      <c r="F17">
        <v>1</v>
      </c>
      <c r="G17">
        <v>1</v>
      </c>
      <c r="H17">
        <v>3</v>
      </c>
      <c r="I17" t="s">
        <v>221</v>
      </c>
      <c r="J17" t="s">
        <v>222</v>
      </c>
      <c r="K17" t="s">
        <v>223</v>
      </c>
      <c r="L17">
        <v>1348</v>
      </c>
      <c r="N17">
        <v>1009</v>
      </c>
      <c r="O17" t="s">
        <v>109</v>
      </c>
      <c r="P17" t="s">
        <v>109</v>
      </c>
      <c r="Q17">
        <v>1000</v>
      </c>
      <c r="X17">
        <v>0.00019</v>
      </c>
      <c r="Y17">
        <v>10362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29</v>
      </c>
      <c r="AG17">
        <v>0</v>
      </c>
      <c r="AH17">
        <v>2</v>
      </c>
      <c r="AI17">
        <v>23635156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ROW(Source!A33)</f>
        <v>33</v>
      </c>
      <c r="B18">
        <v>23635166</v>
      </c>
      <c r="C18">
        <v>23635148</v>
      </c>
      <c r="D18">
        <v>21027681</v>
      </c>
      <c r="E18">
        <v>1</v>
      </c>
      <c r="F18">
        <v>1</v>
      </c>
      <c r="G18">
        <v>1</v>
      </c>
      <c r="H18">
        <v>3</v>
      </c>
      <c r="I18" t="s">
        <v>224</v>
      </c>
      <c r="J18" t="s">
        <v>225</v>
      </c>
      <c r="K18" t="s">
        <v>226</v>
      </c>
      <c r="L18">
        <v>1354</v>
      </c>
      <c r="N18">
        <v>1010</v>
      </c>
      <c r="O18" t="s">
        <v>27</v>
      </c>
      <c r="P18" t="s">
        <v>27</v>
      </c>
      <c r="Q18">
        <v>1</v>
      </c>
      <c r="X18">
        <v>1</v>
      </c>
      <c r="Y18">
        <v>344.01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29</v>
      </c>
      <c r="AG18">
        <v>0</v>
      </c>
      <c r="AH18">
        <v>2</v>
      </c>
      <c r="AI18">
        <v>23635157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ROW(Source!A34)</f>
        <v>34</v>
      </c>
      <c r="B19">
        <v>23635187</v>
      </c>
      <c r="C19">
        <v>23635178</v>
      </c>
      <c r="D19">
        <v>21063201</v>
      </c>
      <c r="E19">
        <v>1</v>
      </c>
      <c r="F19">
        <v>1</v>
      </c>
      <c r="G19">
        <v>1</v>
      </c>
      <c r="H19">
        <v>1</v>
      </c>
      <c r="I19" t="s">
        <v>227</v>
      </c>
      <c r="K19" t="s">
        <v>228</v>
      </c>
      <c r="L19">
        <v>1369</v>
      </c>
      <c r="N19">
        <v>1013</v>
      </c>
      <c r="O19" t="s">
        <v>202</v>
      </c>
      <c r="P19" t="s">
        <v>202</v>
      </c>
      <c r="Q19">
        <v>1</v>
      </c>
      <c r="X19">
        <v>129.9</v>
      </c>
      <c r="Y19">
        <v>0</v>
      </c>
      <c r="Z19">
        <v>0</v>
      </c>
      <c r="AA19">
        <v>0</v>
      </c>
      <c r="AB19">
        <v>8.86</v>
      </c>
      <c r="AC19">
        <v>0</v>
      </c>
      <c r="AD19">
        <v>1</v>
      </c>
      <c r="AE19">
        <v>1</v>
      </c>
      <c r="AG19">
        <v>129.9</v>
      </c>
      <c r="AH19">
        <v>2</v>
      </c>
      <c r="AI19">
        <v>23635179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ROW(Source!A34)</f>
        <v>34</v>
      </c>
      <c r="B20">
        <v>23635188</v>
      </c>
      <c r="C20">
        <v>23635178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37</v>
      </c>
      <c r="K20" t="s">
        <v>203</v>
      </c>
      <c r="L20">
        <v>608254</v>
      </c>
      <c r="N20">
        <v>1013</v>
      </c>
      <c r="O20" t="s">
        <v>204</v>
      </c>
      <c r="P20" t="s">
        <v>204</v>
      </c>
      <c r="Q20">
        <v>1</v>
      </c>
      <c r="X20">
        <v>1.38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1.38</v>
      </c>
      <c r="AH20">
        <v>2</v>
      </c>
      <c r="AI20">
        <v>23635180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ROW(Source!A34)</f>
        <v>34</v>
      </c>
      <c r="B21">
        <v>23635189</v>
      </c>
      <c r="C21">
        <v>23635178</v>
      </c>
      <c r="D21">
        <v>21011903</v>
      </c>
      <c r="E21">
        <v>1</v>
      </c>
      <c r="F21">
        <v>1</v>
      </c>
      <c r="G21">
        <v>1</v>
      </c>
      <c r="H21">
        <v>2</v>
      </c>
      <c r="I21" t="s">
        <v>229</v>
      </c>
      <c r="J21" t="s">
        <v>230</v>
      </c>
      <c r="K21" t="s">
        <v>231</v>
      </c>
      <c r="L21">
        <v>1368</v>
      </c>
      <c r="N21">
        <v>1011</v>
      </c>
      <c r="O21" t="s">
        <v>208</v>
      </c>
      <c r="P21" t="s">
        <v>208</v>
      </c>
      <c r="Q21">
        <v>1</v>
      </c>
      <c r="X21">
        <v>2.1</v>
      </c>
      <c r="Y21">
        <v>0</v>
      </c>
      <c r="Z21">
        <v>1.7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2.1</v>
      </c>
      <c r="AH21">
        <v>2</v>
      </c>
      <c r="AI21">
        <v>23635181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ROW(Source!A34)</f>
        <v>34</v>
      </c>
      <c r="B22">
        <v>23635190</v>
      </c>
      <c r="C22">
        <v>23635178</v>
      </c>
      <c r="D22">
        <v>21012045</v>
      </c>
      <c r="E22">
        <v>1</v>
      </c>
      <c r="F22">
        <v>1</v>
      </c>
      <c r="G22">
        <v>1</v>
      </c>
      <c r="H22">
        <v>2</v>
      </c>
      <c r="I22" t="s">
        <v>232</v>
      </c>
      <c r="J22" t="s">
        <v>233</v>
      </c>
      <c r="K22" t="s">
        <v>234</v>
      </c>
      <c r="L22">
        <v>1368</v>
      </c>
      <c r="N22">
        <v>1011</v>
      </c>
      <c r="O22" t="s">
        <v>208</v>
      </c>
      <c r="P22" t="s">
        <v>208</v>
      </c>
      <c r="Q22">
        <v>1</v>
      </c>
      <c r="X22">
        <v>1.38</v>
      </c>
      <c r="Y22">
        <v>0</v>
      </c>
      <c r="Z22">
        <v>46.56</v>
      </c>
      <c r="AA22">
        <v>10.06</v>
      </c>
      <c r="AB22">
        <v>0</v>
      </c>
      <c r="AC22">
        <v>0</v>
      </c>
      <c r="AD22">
        <v>1</v>
      </c>
      <c r="AE22">
        <v>0</v>
      </c>
      <c r="AG22">
        <v>1.38</v>
      </c>
      <c r="AH22">
        <v>2</v>
      </c>
      <c r="AI22">
        <v>23635182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ROW(Source!A34)</f>
        <v>34</v>
      </c>
      <c r="B23">
        <v>23635191</v>
      </c>
      <c r="C23">
        <v>23635178</v>
      </c>
      <c r="D23">
        <v>21013260</v>
      </c>
      <c r="E23">
        <v>1</v>
      </c>
      <c r="F23">
        <v>1</v>
      </c>
      <c r="G23">
        <v>1</v>
      </c>
      <c r="H23">
        <v>2</v>
      </c>
      <c r="I23" t="s">
        <v>235</v>
      </c>
      <c r="J23" t="s">
        <v>236</v>
      </c>
      <c r="K23" t="s">
        <v>237</v>
      </c>
      <c r="L23">
        <v>1368</v>
      </c>
      <c r="N23">
        <v>1011</v>
      </c>
      <c r="O23" t="s">
        <v>208</v>
      </c>
      <c r="P23" t="s">
        <v>208</v>
      </c>
      <c r="Q23">
        <v>1</v>
      </c>
      <c r="X23">
        <v>1.38</v>
      </c>
      <c r="Y23">
        <v>0</v>
      </c>
      <c r="Z23">
        <v>1.53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1.38</v>
      </c>
      <c r="AH23">
        <v>2</v>
      </c>
      <c r="AI23">
        <v>23635183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ROW(Source!A34)</f>
        <v>34</v>
      </c>
      <c r="B24">
        <v>23635192</v>
      </c>
      <c r="C24">
        <v>23635178</v>
      </c>
      <c r="D24">
        <v>21015159</v>
      </c>
      <c r="E24">
        <v>1</v>
      </c>
      <c r="F24">
        <v>1</v>
      </c>
      <c r="G24">
        <v>1</v>
      </c>
      <c r="H24">
        <v>3</v>
      </c>
      <c r="I24" t="s">
        <v>238</v>
      </c>
      <c r="J24" t="s">
        <v>239</v>
      </c>
      <c r="K24" t="s">
        <v>240</v>
      </c>
      <c r="L24">
        <v>1348</v>
      </c>
      <c r="N24">
        <v>1009</v>
      </c>
      <c r="O24" t="s">
        <v>109</v>
      </c>
      <c r="P24" t="s">
        <v>109</v>
      </c>
      <c r="Q24">
        <v>1000</v>
      </c>
      <c r="X24">
        <v>0.021</v>
      </c>
      <c r="Y24">
        <v>412.01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0.021</v>
      </c>
      <c r="AH24">
        <v>2</v>
      </c>
      <c r="AI24">
        <v>23635184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ROW(Source!A34)</f>
        <v>34</v>
      </c>
      <c r="B25">
        <v>23635193</v>
      </c>
      <c r="C25">
        <v>23635178</v>
      </c>
      <c r="D25">
        <v>21029200</v>
      </c>
      <c r="E25">
        <v>1</v>
      </c>
      <c r="F25">
        <v>1</v>
      </c>
      <c r="G25">
        <v>1</v>
      </c>
      <c r="H25">
        <v>3</v>
      </c>
      <c r="I25" t="s">
        <v>54</v>
      </c>
      <c r="J25" t="s">
        <v>56</v>
      </c>
      <c r="K25" t="s">
        <v>55</v>
      </c>
      <c r="L25">
        <v>1339</v>
      </c>
      <c r="N25">
        <v>1007</v>
      </c>
      <c r="O25" t="s">
        <v>51</v>
      </c>
      <c r="P25" t="s">
        <v>51</v>
      </c>
      <c r="Q25">
        <v>1</v>
      </c>
      <c r="X25">
        <v>2.14</v>
      </c>
      <c r="Y25">
        <v>519.8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2.14</v>
      </c>
      <c r="AH25">
        <v>2</v>
      </c>
      <c r="AI25">
        <v>23635185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ROW(Source!A34)</f>
        <v>34</v>
      </c>
      <c r="B26">
        <v>23635194</v>
      </c>
      <c r="C26">
        <v>23635178</v>
      </c>
      <c r="D26">
        <v>21044829</v>
      </c>
      <c r="E26">
        <v>1</v>
      </c>
      <c r="F26">
        <v>1</v>
      </c>
      <c r="G26">
        <v>1</v>
      </c>
      <c r="H26">
        <v>3</v>
      </c>
      <c r="I26" t="s">
        <v>241</v>
      </c>
      <c r="J26" t="s">
        <v>242</v>
      </c>
      <c r="K26" t="s">
        <v>243</v>
      </c>
      <c r="L26">
        <v>1348</v>
      </c>
      <c r="N26">
        <v>1009</v>
      </c>
      <c r="O26" t="s">
        <v>109</v>
      </c>
      <c r="P26" t="s">
        <v>109</v>
      </c>
      <c r="Q26">
        <v>1000</v>
      </c>
      <c r="X26">
        <v>1.48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G26">
        <v>1.48</v>
      </c>
      <c r="AH26">
        <v>2</v>
      </c>
      <c r="AI26">
        <v>23635186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ROW(Source!A37)</f>
        <v>37</v>
      </c>
      <c r="B27">
        <v>23635854</v>
      </c>
      <c r="C27">
        <v>23635195</v>
      </c>
      <c r="D27">
        <v>21063220</v>
      </c>
      <c r="E27">
        <v>1</v>
      </c>
      <c r="F27">
        <v>1</v>
      </c>
      <c r="G27">
        <v>1</v>
      </c>
      <c r="H27">
        <v>1</v>
      </c>
      <c r="I27" t="s">
        <v>244</v>
      </c>
      <c r="K27" t="s">
        <v>245</v>
      </c>
      <c r="L27">
        <v>1369</v>
      </c>
      <c r="N27">
        <v>1013</v>
      </c>
      <c r="O27" t="s">
        <v>202</v>
      </c>
      <c r="P27" t="s">
        <v>202</v>
      </c>
      <c r="Q27">
        <v>1</v>
      </c>
      <c r="X27">
        <v>20.8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G27">
        <v>20.8</v>
      </c>
      <c r="AH27">
        <v>2</v>
      </c>
      <c r="AI27">
        <v>23635854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23635855</v>
      </c>
      <c r="C28">
        <v>23635195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37</v>
      </c>
      <c r="K28" t="s">
        <v>203</v>
      </c>
      <c r="L28">
        <v>608254</v>
      </c>
      <c r="N28">
        <v>1013</v>
      </c>
      <c r="O28" t="s">
        <v>204</v>
      </c>
      <c r="P28" t="s">
        <v>204</v>
      </c>
      <c r="Q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0</v>
      </c>
      <c r="AH28">
        <v>2</v>
      </c>
      <c r="AI28">
        <v>23635855</v>
      </c>
      <c r="AJ28">
        <v>29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ROW(Source!A38)</f>
        <v>38</v>
      </c>
      <c r="B29">
        <v>23635206</v>
      </c>
      <c r="C29">
        <v>23635196</v>
      </c>
      <c r="D29">
        <v>21069792</v>
      </c>
      <c r="E29">
        <v>1</v>
      </c>
      <c r="F29">
        <v>1</v>
      </c>
      <c r="G29">
        <v>1</v>
      </c>
      <c r="H29">
        <v>1</v>
      </c>
      <c r="I29" t="s">
        <v>246</v>
      </c>
      <c r="K29" t="s">
        <v>247</v>
      </c>
      <c r="L29">
        <v>1369</v>
      </c>
      <c r="N29">
        <v>1013</v>
      </c>
      <c r="O29" t="s">
        <v>202</v>
      </c>
      <c r="P29" t="s">
        <v>202</v>
      </c>
      <c r="Q29">
        <v>1</v>
      </c>
      <c r="X29">
        <v>26.1</v>
      </c>
      <c r="Y29">
        <v>0</v>
      </c>
      <c r="Z29">
        <v>0</v>
      </c>
      <c r="AA29">
        <v>0</v>
      </c>
      <c r="AB29">
        <v>9.18</v>
      </c>
      <c r="AC29">
        <v>0</v>
      </c>
      <c r="AD29">
        <v>1</v>
      </c>
      <c r="AE29">
        <v>1</v>
      </c>
      <c r="AG29">
        <v>26.1</v>
      </c>
      <c r="AH29">
        <v>2</v>
      </c>
      <c r="AI29">
        <v>23635197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ROW(Source!A38)</f>
        <v>38</v>
      </c>
      <c r="B30">
        <v>23635207</v>
      </c>
      <c r="C30">
        <v>23635196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37</v>
      </c>
      <c r="K30" t="s">
        <v>203</v>
      </c>
      <c r="L30">
        <v>608254</v>
      </c>
      <c r="N30">
        <v>1013</v>
      </c>
      <c r="O30" t="s">
        <v>204</v>
      </c>
      <c r="P30" t="s">
        <v>204</v>
      </c>
      <c r="Q30">
        <v>1</v>
      </c>
      <c r="X30">
        <v>0.24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G30">
        <v>0.24</v>
      </c>
      <c r="AH30">
        <v>2</v>
      </c>
      <c r="AI30">
        <v>23635198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ROW(Source!A38)</f>
        <v>38</v>
      </c>
      <c r="B31">
        <v>23635208</v>
      </c>
      <c r="C31">
        <v>23635196</v>
      </c>
      <c r="D31">
        <v>21011724</v>
      </c>
      <c r="E31">
        <v>1</v>
      </c>
      <c r="F31">
        <v>1</v>
      </c>
      <c r="G31">
        <v>1</v>
      </c>
      <c r="H31">
        <v>2</v>
      </c>
      <c r="I31" t="s">
        <v>205</v>
      </c>
      <c r="J31" t="s">
        <v>206</v>
      </c>
      <c r="K31" t="s">
        <v>207</v>
      </c>
      <c r="L31">
        <v>1368</v>
      </c>
      <c r="N31">
        <v>1011</v>
      </c>
      <c r="O31" t="s">
        <v>208</v>
      </c>
      <c r="P31" t="s">
        <v>208</v>
      </c>
      <c r="Q31">
        <v>1</v>
      </c>
      <c r="X31">
        <v>0.15</v>
      </c>
      <c r="Y31">
        <v>0</v>
      </c>
      <c r="Z31">
        <v>86.4</v>
      </c>
      <c r="AA31">
        <v>13.5</v>
      </c>
      <c r="AB31">
        <v>0</v>
      </c>
      <c r="AC31">
        <v>0</v>
      </c>
      <c r="AD31">
        <v>1</v>
      </c>
      <c r="AE31">
        <v>0</v>
      </c>
      <c r="AG31">
        <v>0.15</v>
      </c>
      <c r="AH31">
        <v>2</v>
      </c>
      <c r="AI31">
        <v>23635199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ROW(Source!A38)</f>
        <v>38</v>
      </c>
      <c r="B32">
        <v>23635209</v>
      </c>
      <c r="C32">
        <v>23635196</v>
      </c>
      <c r="D32">
        <v>21011808</v>
      </c>
      <c r="E32">
        <v>1</v>
      </c>
      <c r="F32">
        <v>1</v>
      </c>
      <c r="G32">
        <v>1</v>
      </c>
      <c r="H32">
        <v>2</v>
      </c>
      <c r="I32" t="s">
        <v>248</v>
      </c>
      <c r="J32" t="s">
        <v>249</v>
      </c>
      <c r="K32" t="s">
        <v>250</v>
      </c>
      <c r="L32">
        <v>1368</v>
      </c>
      <c r="N32">
        <v>1011</v>
      </c>
      <c r="O32" t="s">
        <v>208</v>
      </c>
      <c r="P32" t="s">
        <v>208</v>
      </c>
      <c r="Q32">
        <v>1</v>
      </c>
      <c r="X32">
        <v>0.09</v>
      </c>
      <c r="Y32">
        <v>0</v>
      </c>
      <c r="Z32">
        <v>112</v>
      </c>
      <c r="AA32">
        <v>13.5</v>
      </c>
      <c r="AB32">
        <v>0</v>
      </c>
      <c r="AC32">
        <v>0</v>
      </c>
      <c r="AD32">
        <v>1</v>
      </c>
      <c r="AE32">
        <v>0</v>
      </c>
      <c r="AG32">
        <v>0.09</v>
      </c>
      <c r="AH32">
        <v>2</v>
      </c>
      <c r="AI32">
        <v>23635200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ROW(Source!A38)</f>
        <v>38</v>
      </c>
      <c r="B33">
        <v>23635210</v>
      </c>
      <c r="C33">
        <v>23635196</v>
      </c>
      <c r="D33">
        <v>21012457</v>
      </c>
      <c r="E33">
        <v>1</v>
      </c>
      <c r="F33">
        <v>1</v>
      </c>
      <c r="G33">
        <v>1</v>
      </c>
      <c r="H33">
        <v>2</v>
      </c>
      <c r="I33" t="s">
        <v>251</v>
      </c>
      <c r="J33" t="s">
        <v>252</v>
      </c>
      <c r="K33" t="s">
        <v>253</v>
      </c>
      <c r="L33">
        <v>1368</v>
      </c>
      <c r="N33">
        <v>1011</v>
      </c>
      <c r="O33" t="s">
        <v>208</v>
      </c>
      <c r="P33" t="s">
        <v>208</v>
      </c>
      <c r="Q33">
        <v>1</v>
      </c>
      <c r="X33">
        <v>4.94</v>
      </c>
      <c r="Y33">
        <v>0</v>
      </c>
      <c r="Z33">
        <v>30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4.94</v>
      </c>
      <c r="AH33">
        <v>2</v>
      </c>
      <c r="AI33">
        <v>23635201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ROW(Source!A38)</f>
        <v>38</v>
      </c>
      <c r="B34">
        <v>23635211</v>
      </c>
      <c r="C34">
        <v>23635196</v>
      </c>
      <c r="D34">
        <v>21013544</v>
      </c>
      <c r="E34">
        <v>1</v>
      </c>
      <c r="F34">
        <v>1</v>
      </c>
      <c r="G34">
        <v>1</v>
      </c>
      <c r="H34">
        <v>2</v>
      </c>
      <c r="I34" t="s">
        <v>212</v>
      </c>
      <c r="J34" t="s">
        <v>213</v>
      </c>
      <c r="K34" t="s">
        <v>214</v>
      </c>
      <c r="L34">
        <v>1368</v>
      </c>
      <c r="N34">
        <v>1011</v>
      </c>
      <c r="O34" t="s">
        <v>208</v>
      </c>
      <c r="P34" t="s">
        <v>208</v>
      </c>
      <c r="Q34">
        <v>1</v>
      </c>
      <c r="X34">
        <v>0.12</v>
      </c>
      <c r="Y34">
        <v>0</v>
      </c>
      <c r="Z34">
        <v>87.17</v>
      </c>
      <c r="AA34">
        <v>11.6</v>
      </c>
      <c r="AB34">
        <v>0</v>
      </c>
      <c r="AC34">
        <v>0</v>
      </c>
      <c r="AD34">
        <v>1</v>
      </c>
      <c r="AE34">
        <v>0</v>
      </c>
      <c r="AG34">
        <v>0.12</v>
      </c>
      <c r="AH34">
        <v>2</v>
      </c>
      <c r="AI34">
        <v>23635202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ROW(Source!A38)</f>
        <v>38</v>
      </c>
      <c r="B35">
        <v>23635212</v>
      </c>
      <c r="C35">
        <v>23635196</v>
      </c>
      <c r="D35">
        <v>21014644</v>
      </c>
      <c r="E35">
        <v>1</v>
      </c>
      <c r="F35">
        <v>1</v>
      </c>
      <c r="G35">
        <v>1</v>
      </c>
      <c r="H35">
        <v>3</v>
      </c>
      <c r="I35" t="s">
        <v>254</v>
      </c>
      <c r="J35" t="s">
        <v>255</v>
      </c>
      <c r="K35" t="s">
        <v>256</v>
      </c>
      <c r="L35">
        <v>1348</v>
      </c>
      <c r="N35">
        <v>1009</v>
      </c>
      <c r="O35" t="s">
        <v>109</v>
      </c>
      <c r="P35" t="s">
        <v>109</v>
      </c>
      <c r="Q35">
        <v>1000</v>
      </c>
      <c r="X35">
        <v>0.605</v>
      </c>
      <c r="Y35">
        <v>3390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29</v>
      </c>
      <c r="AG35">
        <v>0</v>
      </c>
      <c r="AH35">
        <v>2</v>
      </c>
      <c r="AI35">
        <v>23635203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ROW(Source!A38)</f>
        <v>38</v>
      </c>
      <c r="B36">
        <v>23635213</v>
      </c>
      <c r="C36">
        <v>23635196</v>
      </c>
      <c r="D36">
        <v>21017137</v>
      </c>
      <c r="E36">
        <v>1</v>
      </c>
      <c r="F36">
        <v>1</v>
      </c>
      <c r="G36">
        <v>1</v>
      </c>
      <c r="H36">
        <v>3</v>
      </c>
      <c r="I36" t="s">
        <v>257</v>
      </c>
      <c r="J36" t="s">
        <v>258</v>
      </c>
      <c r="K36" t="s">
        <v>259</v>
      </c>
      <c r="L36">
        <v>1327</v>
      </c>
      <c r="N36">
        <v>1005</v>
      </c>
      <c r="O36" t="s">
        <v>260</v>
      </c>
      <c r="P36" t="s">
        <v>260</v>
      </c>
      <c r="Q36">
        <v>1</v>
      </c>
      <c r="X36">
        <v>252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29</v>
      </c>
      <c r="AG36">
        <v>0</v>
      </c>
      <c r="AH36">
        <v>2</v>
      </c>
      <c r="AI36">
        <v>23635204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ROW(Source!A38)</f>
        <v>38</v>
      </c>
      <c r="B37">
        <v>23635214</v>
      </c>
      <c r="C37">
        <v>23635196</v>
      </c>
      <c r="D37">
        <v>21029200</v>
      </c>
      <c r="E37">
        <v>1</v>
      </c>
      <c r="F37">
        <v>1</v>
      </c>
      <c r="G37">
        <v>1</v>
      </c>
      <c r="H37">
        <v>3</v>
      </c>
      <c r="I37" t="s">
        <v>54</v>
      </c>
      <c r="J37" t="s">
        <v>56</v>
      </c>
      <c r="K37" t="s">
        <v>55</v>
      </c>
      <c r="L37">
        <v>1339</v>
      </c>
      <c r="N37">
        <v>1007</v>
      </c>
      <c r="O37" t="s">
        <v>51</v>
      </c>
      <c r="P37" t="s">
        <v>51</v>
      </c>
      <c r="Q37">
        <v>1</v>
      </c>
      <c r="X37">
        <v>0.51</v>
      </c>
      <c r="Y37">
        <v>519.8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29</v>
      </c>
      <c r="AG37">
        <v>0</v>
      </c>
      <c r="AH37">
        <v>2</v>
      </c>
      <c r="AI37">
        <v>23635205</v>
      </c>
      <c r="AJ37">
        <v>38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ROW(Source!A40)</f>
        <v>40</v>
      </c>
      <c r="B38">
        <v>23635860</v>
      </c>
      <c r="C38">
        <v>23635215</v>
      </c>
      <c r="D38">
        <v>21063970</v>
      </c>
      <c r="E38">
        <v>1</v>
      </c>
      <c r="F38">
        <v>1</v>
      </c>
      <c r="G38">
        <v>1</v>
      </c>
      <c r="H38">
        <v>1</v>
      </c>
      <c r="I38" t="s">
        <v>261</v>
      </c>
      <c r="K38" t="s">
        <v>262</v>
      </c>
      <c r="L38">
        <v>1369</v>
      </c>
      <c r="N38">
        <v>1013</v>
      </c>
      <c r="O38" t="s">
        <v>202</v>
      </c>
      <c r="P38" t="s">
        <v>202</v>
      </c>
      <c r="Q38">
        <v>1</v>
      </c>
      <c r="X38">
        <v>22.34</v>
      </c>
      <c r="Y38">
        <v>0</v>
      </c>
      <c r="Z38">
        <v>0</v>
      </c>
      <c r="AA38">
        <v>0</v>
      </c>
      <c r="AB38">
        <v>9.4</v>
      </c>
      <c r="AC38">
        <v>0</v>
      </c>
      <c r="AD38">
        <v>1</v>
      </c>
      <c r="AE38">
        <v>1</v>
      </c>
      <c r="AG38">
        <v>22.34</v>
      </c>
      <c r="AH38">
        <v>2</v>
      </c>
      <c r="AI38">
        <v>23635860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ROW(Source!A40)</f>
        <v>40</v>
      </c>
      <c r="B39">
        <v>23635861</v>
      </c>
      <c r="C39">
        <v>23635215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37</v>
      </c>
      <c r="K39" t="s">
        <v>203</v>
      </c>
      <c r="L39">
        <v>608254</v>
      </c>
      <c r="N39">
        <v>1013</v>
      </c>
      <c r="O39" t="s">
        <v>204</v>
      </c>
      <c r="P39" t="s">
        <v>204</v>
      </c>
      <c r="Q39">
        <v>1</v>
      </c>
      <c r="X39">
        <v>0.31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G39">
        <v>0.31</v>
      </c>
      <c r="AH39">
        <v>2</v>
      </c>
      <c r="AI39">
        <v>23635861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ROW(Source!A40)</f>
        <v>40</v>
      </c>
      <c r="B40">
        <v>23635862</v>
      </c>
      <c r="C40">
        <v>23635215</v>
      </c>
      <c r="D40">
        <v>21011724</v>
      </c>
      <c r="E40">
        <v>1</v>
      </c>
      <c r="F40">
        <v>1</v>
      </c>
      <c r="G40">
        <v>1</v>
      </c>
      <c r="H40">
        <v>2</v>
      </c>
      <c r="I40" t="s">
        <v>205</v>
      </c>
      <c r="J40" t="s">
        <v>206</v>
      </c>
      <c r="K40" t="s">
        <v>207</v>
      </c>
      <c r="L40">
        <v>1368</v>
      </c>
      <c r="N40">
        <v>1011</v>
      </c>
      <c r="O40" t="s">
        <v>208</v>
      </c>
      <c r="P40" t="s">
        <v>208</v>
      </c>
      <c r="Q40">
        <v>1</v>
      </c>
      <c r="X40">
        <v>0.23</v>
      </c>
      <c r="Y40">
        <v>0</v>
      </c>
      <c r="Z40">
        <v>86.4</v>
      </c>
      <c r="AA40">
        <v>13.5</v>
      </c>
      <c r="AB40">
        <v>0</v>
      </c>
      <c r="AC40">
        <v>0</v>
      </c>
      <c r="AD40">
        <v>1</v>
      </c>
      <c r="AE40">
        <v>0</v>
      </c>
      <c r="AG40">
        <v>0.23</v>
      </c>
      <c r="AH40">
        <v>2</v>
      </c>
      <c r="AI40">
        <v>23635862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ROW(Source!A40)</f>
        <v>40</v>
      </c>
      <c r="B41">
        <v>23635863</v>
      </c>
      <c r="C41">
        <v>23635215</v>
      </c>
      <c r="D41">
        <v>21011808</v>
      </c>
      <c r="E41">
        <v>1</v>
      </c>
      <c r="F41">
        <v>1</v>
      </c>
      <c r="G41">
        <v>1</v>
      </c>
      <c r="H41">
        <v>2</v>
      </c>
      <c r="I41" t="s">
        <v>248</v>
      </c>
      <c r="J41" t="s">
        <v>249</v>
      </c>
      <c r="K41" t="s">
        <v>250</v>
      </c>
      <c r="L41">
        <v>1368</v>
      </c>
      <c r="N41">
        <v>1011</v>
      </c>
      <c r="O41" t="s">
        <v>208</v>
      </c>
      <c r="P41" t="s">
        <v>208</v>
      </c>
      <c r="Q41">
        <v>1</v>
      </c>
      <c r="X41">
        <v>0.08</v>
      </c>
      <c r="Y41">
        <v>0</v>
      </c>
      <c r="Z41">
        <v>112</v>
      </c>
      <c r="AA41">
        <v>13.5</v>
      </c>
      <c r="AB41">
        <v>0</v>
      </c>
      <c r="AC41">
        <v>0</v>
      </c>
      <c r="AD41">
        <v>1</v>
      </c>
      <c r="AE41">
        <v>0</v>
      </c>
      <c r="AG41">
        <v>0.08</v>
      </c>
      <c r="AH41">
        <v>2</v>
      </c>
      <c r="AI41">
        <v>23635863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ROW(Source!A40)</f>
        <v>40</v>
      </c>
      <c r="B42">
        <v>23635864</v>
      </c>
      <c r="C42">
        <v>23635215</v>
      </c>
      <c r="D42">
        <v>21012678</v>
      </c>
      <c r="E42">
        <v>1</v>
      </c>
      <c r="F42">
        <v>1</v>
      </c>
      <c r="G42">
        <v>1</v>
      </c>
      <c r="H42">
        <v>2</v>
      </c>
      <c r="I42" t="s">
        <v>263</v>
      </c>
      <c r="J42" t="s">
        <v>264</v>
      </c>
      <c r="K42" t="s">
        <v>265</v>
      </c>
      <c r="L42">
        <v>1368</v>
      </c>
      <c r="N42">
        <v>1011</v>
      </c>
      <c r="O42" t="s">
        <v>208</v>
      </c>
      <c r="P42" t="s">
        <v>208</v>
      </c>
      <c r="Q42">
        <v>1</v>
      </c>
      <c r="X42">
        <v>7.2</v>
      </c>
      <c r="Y42">
        <v>0</v>
      </c>
      <c r="Z42">
        <v>3.5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7.2</v>
      </c>
      <c r="AH42">
        <v>2</v>
      </c>
      <c r="AI42">
        <v>23635864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ROW(Source!A40)</f>
        <v>40</v>
      </c>
      <c r="B43">
        <v>23635865</v>
      </c>
      <c r="C43">
        <v>23635215</v>
      </c>
      <c r="D43">
        <v>21013544</v>
      </c>
      <c r="E43">
        <v>1</v>
      </c>
      <c r="F43">
        <v>1</v>
      </c>
      <c r="G43">
        <v>1</v>
      </c>
      <c r="H43">
        <v>2</v>
      </c>
      <c r="I43" t="s">
        <v>212</v>
      </c>
      <c r="J43" t="s">
        <v>213</v>
      </c>
      <c r="K43" t="s">
        <v>214</v>
      </c>
      <c r="L43">
        <v>1368</v>
      </c>
      <c r="N43">
        <v>1011</v>
      </c>
      <c r="O43" t="s">
        <v>208</v>
      </c>
      <c r="P43" t="s">
        <v>208</v>
      </c>
      <c r="Q43">
        <v>1</v>
      </c>
      <c r="X43">
        <v>0.12</v>
      </c>
      <c r="Y43">
        <v>0</v>
      </c>
      <c r="Z43">
        <v>87.17</v>
      </c>
      <c r="AA43">
        <v>11.6</v>
      </c>
      <c r="AB43">
        <v>0</v>
      </c>
      <c r="AC43">
        <v>0</v>
      </c>
      <c r="AD43">
        <v>1</v>
      </c>
      <c r="AE43">
        <v>0</v>
      </c>
      <c r="AG43">
        <v>0.12</v>
      </c>
      <c r="AH43">
        <v>2</v>
      </c>
      <c r="AI43">
        <v>23635865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ROW(Source!A40)</f>
        <v>40</v>
      </c>
      <c r="B44">
        <v>23635866</v>
      </c>
      <c r="C44">
        <v>23635215</v>
      </c>
      <c r="D44">
        <v>21015911</v>
      </c>
      <c r="E44">
        <v>1</v>
      </c>
      <c r="F44">
        <v>1</v>
      </c>
      <c r="G44">
        <v>1</v>
      </c>
      <c r="H44">
        <v>3</v>
      </c>
      <c r="I44" t="s">
        <v>266</v>
      </c>
      <c r="J44" t="s">
        <v>267</v>
      </c>
      <c r="K44" t="s">
        <v>268</v>
      </c>
      <c r="L44">
        <v>1346</v>
      </c>
      <c r="N44">
        <v>1009</v>
      </c>
      <c r="O44" t="s">
        <v>76</v>
      </c>
      <c r="P44" t="s">
        <v>76</v>
      </c>
      <c r="Q44">
        <v>1</v>
      </c>
      <c r="X44">
        <v>44.3</v>
      </c>
      <c r="Y44">
        <v>6.09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44.3</v>
      </c>
      <c r="AH44">
        <v>2</v>
      </c>
      <c r="AI44">
        <v>23635866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ROW(Source!A40)</f>
        <v>40</v>
      </c>
      <c r="B45">
        <v>23635867</v>
      </c>
      <c r="C45">
        <v>23635215</v>
      </c>
      <c r="D45">
        <v>21017135</v>
      </c>
      <c r="E45">
        <v>1</v>
      </c>
      <c r="F45">
        <v>1</v>
      </c>
      <c r="G45">
        <v>1</v>
      </c>
      <c r="H45">
        <v>3</v>
      </c>
      <c r="I45" t="s">
        <v>269</v>
      </c>
      <c r="J45" t="s">
        <v>270</v>
      </c>
      <c r="K45" t="s">
        <v>271</v>
      </c>
      <c r="L45">
        <v>1327</v>
      </c>
      <c r="N45">
        <v>1005</v>
      </c>
      <c r="O45" t="s">
        <v>260</v>
      </c>
      <c r="P45" t="s">
        <v>260</v>
      </c>
      <c r="Q45">
        <v>1</v>
      </c>
      <c r="X45">
        <v>115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115</v>
      </c>
      <c r="AH45">
        <v>2</v>
      </c>
      <c r="AI45">
        <v>23635867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ROW(Source!A40)</f>
        <v>40</v>
      </c>
      <c r="B46">
        <v>23635868</v>
      </c>
      <c r="C46">
        <v>23635215</v>
      </c>
      <c r="D46">
        <v>21017136</v>
      </c>
      <c r="E46">
        <v>1</v>
      </c>
      <c r="F46">
        <v>1</v>
      </c>
      <c r="G46">
        <v>1</v>
      </c>
      <c r="H46">
        <v>3</v>
      </c>
      <c r="I46" t="s">
        <v>272</v>
      </c>
      <c r="J46" t="s">
        <v>273</v>
      </c>
      <c r="K46" t="s">
        <v>274</v>
      </c>
      <c r="L46">
        <v>1327</v>
      </c>
      <c r="N46">
        <v>1005</v>
      </c>
      <c r="O46" t="s">
        <v>260</v>
      </c>
      <c r="P46" t="s">
        <v>260</v>
      </c>
      <c r="Q46">
        <v>1</v>
      </c>
      <c r="X46">
        <v>226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226</v>
      </c>
      <c r="AH46">
        <v>2</v>
      </c>
      <c r="AI46">
        <v>23635868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ROW(Source!A42)</f>
        <v>42</v>
      </c>
      <c r="B47">
        <v>23635225</v>
      </c>
      <c r="C47">
        <v>23635216</v>
      </c>
      <c r="D47">
        <v>21067004</v>
      </c>
      <c r="E47">
        <v>1</v>
      </c>
      <c r="F47">
        <v>1</v>
      </c>
      <c r="G47">
        <v>1</v>
      </c>
      <c r="H47">
        <v>1</v>
      </c>
      <c r="I47" t="s">
        <v>275</v>
      </c>
      <c r="K47" t="s">
        <v>276</v>
      </c>
      <c r="L47">
        <v>1369</v>
      </c>
      <c r="N47">
        <v>1013</v>
      </c>
      <c r="O47" t="s">
        <v>202</v>
      </c>
      <c r="P47" t="s">
        <v>202</v>
      </c>
      <c r="Q47">
        <v>1</v>
      </c>
      <c r="X47">
        <v>7.84</v>
      </c>
      <c r="Y47">
        <v>0</v>
      </c>
      <c r="Z47">
        <v>0</v>
      </c>
      <c r="AA47">
        <v>0</v>
      </c>
      <c r="AB47">
        <v>8.74</v>
      </c>
      <c r="AC47">
        <v>0</v>
      </c>
      <c r="AD47">
        <v>1</v>
      </c>
      <c r="AE47">
        <v>1</v>
      </c>
      <c r="AG47">
        <v>7.84</v>
      </c>
      <c r="AH47">
        <v>2</v>
      </c>
      <c r="AI47">
        <v>23635217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ROW(Source!A42)</f>
        <v>42</v>
      </c>
      <c r="B48">
        <v>23635226</v>
      </c>
      <c r="C48">
        <v>23635216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37</v>
      </c>
      <c r="K48" t="s">
        <v>203</v>
      </c>
      <c r="L48">
        <v>608254</v>
      </c>
      <c r="N48">
        <v>1013</v>
      </c>
      <c r="O48" t="s">
        <v>204</v>
      </c>
      <c r="P48" t="s">
        <v>204</v>
      </c>
      <c r="Q48">
        <v>1</v>
      </c>
      <c r="X48">
        <v>0.13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G48">
        <v>0.13</v>
      </c>
      <c r="AH48">
        <v>2</v>
      </c>
      <c r="AI48">
        <v>23635218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ROW(Source!A42)</f>
        <v>42</v>
      </c>
      <c r="B49">
        <v>23635227</v>
      </c>
      <c r="C49">
        <v>23635216</v>
      </c>
      <c r="D49">
        <v>21011724</v>
      </c>
      <c r="E49">
        <v>1</v>
      </c>
      <c r="F49">
        <v>1</v>
      </c>
      <c r="G49">
        <v>1</v>
      </c>
      <c r="H49">
        <v>2</v>
      </c>
      <c r="I49" t="s">
        <v>205</v>
      </c>
      <c r="J49" t="s">
        <v>206</v>
      </c>
      <c r="K49" t="s">
        <v>207</v>
      </c>
      <c r="L49">
        <v>1368</v>
      </c>
      <c r="N49">
        <v>1011</v>
      </c>
      <c r="O49" t="s">
        <v>208</v>
      </c>
      <c r="P49" t="s">
        <v>208</v>
      </c>
      <c r="Q49">
        <v>1</v>
      </c>
      <c r="X49">
        <v>0.08</v>
      </c>
      <c r="Y49">
        <v>0</v>
      </c>
      <c r="Z49">
        <v>86.4</v>
      </c>
      <c r="AA49">
        <v>13.5</v>
      </c>
      <c r="AB49">
        <v>0</v>
      </c>
      <c r="AC49">
        <v>0</v>
      </c>
      <c r="AD49">
        <v>1</v>
      </c>
      <c r="AE49">
        <v>0</v>
      </c>
      <c r="AG49">
        <v>0.08</v>
      </c>
      <c r="AH49">
        <v>2</v>
      </c>
      <c r="AI49">
        <v>23635219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ROW(Source!A42)</f>
        <v>42</v>
      </c>
      <c r="B50">
        <v>23635228</v>
      </c>
      <c r="C50">
        <v>23635216</v>
      </c>
      <c r="D50">
        <v>21011808</v>
      </c>
      <c r="E50">
        <v>1</v>
      </c>
      <c r="F50">
        <v>1</v>
      </c>
      <c r="G50">
        <v>1</v>
      </c>
      <c r="H50">
        <v>2</v>
      </c>
      <c r="I50" t="s">
        <v>248</v>
      </c>
      <c r="J50" t="s">
        <v>249</v>
      </c>
      <c r="K50" t="s">
        <v>250</v>
      </c>
      <c r="L50">
        <v>1368</v>
      </c>
      <c r="N50">
        <v>1011</v>
      </c>
      <c r="O50" t="s">
        <v>208</v>
      </c>
      <c r="P50" t="s">
        <v>208</v>
      </c>
      <c r="Q50">
        <v>1</v>
      </c>
      <c r="X50">
        <v>0.05</v>
      </c>
      <c r="Y50">
        <v>0</v>
      </c>
      <c r="Z50">
        <v>112</v>
      </c>
      <c r="AA50">
        <v>13.5</v>
      </c>
      <c r="AB50">
        <v>0</v>
      </c>
      <c r="AC50">
        <v>0</v>
      </c>
      <c r="AD50">
        <v>1</v>
      </c>
      <c r="AE50">
        <v>0</v>
      </c>
      <c r="AG50">
        <v>0.05</v>
      </c>
      <c r="AH50">
        <v>2</v>
      </c>
      <c r="AI50">
        <v>23635220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ROW(Source!A42)</f>
        <v>42</v>
      </c>
      <c r="B51">
        <v>23635229</v>
      </c>
      <c r="C51">
        <v>23635216</v>
      </c>
      <c r="D51">
        <v>21012457</v>
      </c>
      <c r="E51">
        <v>1</v>
      </c>
      <c r="F51">
        <v>1</v>
      </c>
      <c r="G51">
        <v>1</v>
      </c>
      <c r="H51">
        <v>2</v>
      </c>
      <c r="I51" t="s">
        <v>251</v>
      </c>
      <c r="J51" t="s">
        <v>252</v>
      </c>
      <c r="K51" t="s">
        <v>253</v>
      </c>
      <c r="L51">
        <v>1368</v>
      </c>
      <c r="N51">
        <v>1011</v>
      </c>
      <c r="O51" t="s">
        <v>208</v>
      </c>
      <c r="P51" t="s">
        <v>208</v>
      </c>
      <c r="Q51">
        <v>1</v>
      </c>
      <c r="X51">
        <v>0.41</v>
      </c>
      <c r="Y51">
        <v>0</v>
      </c>
      <c r="Z51">
        <v>30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0.41</v>
      </c>
      <c r="AH51">
        <v>2</v>
      </c>
      <c r="AI51">
        <v>23635221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ROW(Source!A42)</f>
        <v>42</v>
      </c>
      <c r="B52">
        <v>23635230</v>
      </c>
      <c r="C52">
        <v>23635216</v>
      </c>
      <c r="D52">
        <v>21013544</v>
      </c>
      <c r="E52">
        <v>1</v>
      </c>
      <c r="F52">
        <v>1</v>
      </c>
      <c r="G52">
        <v>1</v>
      </c>
      <c r="H52">
        <v>2</v>
      </c>
      <c r="I52" t="s">
        <v>212</v>
      </c>
      <c r="J52" t="s">
        <v>213</v>
      </c>
      <c r="K52" t="s">
        <v>214</v>
      </c>
      <c r="L52">
        <v>1368</v>
      </c>
      <c r="N52">
        <v>1011</v>
      </c>
      <c r="O52" t="s">
        <v>208</v>
      </c>
      <c r="P52" t="s">
        <v>208</v>
      </c>
      <c r="Q52">
        <v>1</v>
      </c>
      <c r="X52">
        <v>0.08</v>
      </c>
      <c r="Y52">
        <v>0</v>
      </c>
      <c r="Z52">
        <v>87.17</v>
      </c>
      <c r="AA52">
        <v>11.6</v>
      </c>
      <c r="AB52">
        <v>0</v>
      </c>
      <c r="AC52">
        <v>0</v>
      </c>
      <c r="AD52">
        <v>1</v>
      </c>
      <c r="AE52">
        <v>0</v>
      </c>
      <c r="AG52">
        <v>0.08</v>
      </c>
      <c r="AH52">
        <v>2</v>
      </c>
      <c r="AI52">
        <v>23635222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ROW(Source!A42)</f>
        <v>42</v>
      </c>
      <c r="B53">
        <v>23635231</v>
      </c>
      <c r="C53">
        <v>23635216</v>
      </c>
      <c r="D53">
        <v>21014644</v>
      </c>
      <c r="E53">
        <v>1</v>
      </c>
      <c r="F53">
        <v>1</v>
      </c>
      <c r="G53">
        <v>1</v>
      </c>
      <c r="H53">
        <v>3</v>
      </c>
      <c r="I53" t="s">
        <v>254</v>
      </c>
      <c r="J53" t="s">
        <v>255</v>
      </c>
      <c r="K53" t="s">
        <v>256</v>
      </c>
      <c r="L53">
        <v>1348</v>
      </c>
      <c r="N53">
        <v>1009</v>
      </c>
      <c r="O53" t="s">
        <v>109</v>
      </c>
      <c r="P53" t="s">
        <v>109</v>
      </c>
      <c r="Q53">
        <v>1000</v>
      </c>
      <c r="X53">
        <v>0.05</v>
      </c>
      <c r="Y53">
        <v>3390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29</v>
      </c>
      <c r="AG53">
        <v>0</v>
      </c>
      <c r="AH53">
        <v>2</v>
      </c>
      <c r="AI53">
        <v>23635223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ROW(Source!A42)</f>
        <v>42</v>
      </c>
      <c r="B54">
        <v>23635232</v>
      </c>
      <c r="C54">
        <v>23635216</v>
      </c>
      <c r="D54">
        <v>21014773</v>
      </c>
      <c r="E54">
        <v>1</v>
      </c>
      <c r="F54">
        <v>1</v>
      </c>
      <c r="G54">
        <v>1</v>
      </c>
      <c r="H54">
        <v>3</v>
      </c>
      <c r="I54" t="s">
        <v>277</v>
      </c>
      <c r="J54" t="s">
        <v>278</v>
      </c>
      <c r="K54" t="s">
        <v>279</v>
      </c>
      <c r="L54">
        <v>1327</v>
      </c>
      <c r="N54">
        <v>1005</v>
      </c>
      <c r="O54" t="s">
        <v>260</v>
      </c>
      <c r="P54" t="s">
        <v>260</v>
      </c>
      <c r="Q54">
        <v>1</v>
      </c>
      <c r="X54">
        <v>110</v>
      </c>
      <c r="Y54">
        <v>6.19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29</v>
      </c>
      <c r="AG54">
        <v>0</v>
      </c>
      <c r="AH54">
        <v>2</v>
      </c>
      <c r="AI54">
        <v>23635224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ROW(Source!A44)</f>
        <v>44</v>
      </c>
      <c r="B55">
        <v>23635879</v>
      </c>
      <c r="C55">
        <v>23635876</v>
      </c>
      <c r="D55">
        <v>21063220</v>
      </c>
      <c r="E55">
        <v>1</v>
      </c>
      <c r="F55">
        <v>1</v>
      </c>
      <c r="G55">
        <v>1</v>
      </c>
      <c r="H55">
        <v>1</v>
      </c>
      <c r="I55" t="s">
        <v>244</v>
      </c>
      <c r="K55" t="s">
        <v>245</v>
      </c>
      <c r="L55">
        <v>1369</v>
      </c>
      <c r="N55">
        <v>1013</v>
      </c>
      <c r="O55" t="s">
        <v>202</v>
      </c>
      <c r="P55" t="s">
        <v>202</v>
      </c>
      <c r="Q55">
        <v>1</v>
      </c>
      <c r="X55">
        <v>20.8</v>
      </c>
      <c r="Y55">
        <v>0</v>
      </c>
      <c r="Z55">
        <v>0</v>
      </c>
      <c r="AA55">
        <v>0</v>
      </c>
      <c r="AB55">
        <v>7.8</v>
      </c>
      <c r="AC55">
        <v>0</v>
      </c>
      <c r="AD55">
        <v>1</v>
      </c>
      <c r="AE55">
        <v>1</v>
      </c>
      <c r="AG55">
        <v>20.8</v>
      </c>
      <c r="AH55">
        <v>2</v>
      </c>
      <c r="AI55">
        <v>23635877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ROW(Source!A44)</f>
        <v>44</v>
      </c>
      <c r="B56">
        <v>23635880</v>
      </c>
      <c r="C56">
        <v>23635876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37</v>
      </c>
      <c r="K56" t="s">
        <v>203</v>
      </c>
      <c r="L56">
        <v>608254</v>
      </c>
      <c r="N56">
        <v>1013</v>
      </c>
      <c r="O56" t="s">
        <v>204</v>
      </c>
      <c r="P56" t="s">
        <v>204</v>
      </c>
      <c r="Q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G56">
        <v>0</v>
      </c>
      <c r="AH56">
        <v>2</v>
      </c>
      <c r="AI56">
        <v>23635878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ROW(Source!A45)</f>
        <v>45</v>
      </c>
      <c r="B57">
        <v>23635246</v>
      </c>
      <c r="C57">
        <v>23635233</v>
      </c>
      <c r="D57">
        <v>21071108</v>
      </c>
      <c r="E57">
        <v>1</v>
      </c>
      <c r="F57">
        <v>1</v>
      </c>
      <c r="G57">
        <v>1</v>
      </c>
      <c r="H57">
        <v>1</v>
      </c>
      <c r="I57" t="s">
        <v>280</v>
      </c>
      <c r="K57" t="s">
        <v>281</v>
      </c>
      <c r="L57">
        <v>1369</v>
      </c>
      <c r="N57">
        <v>1013</v>
      </c>
      <c r="O57" t="s">
        <v>202</v>
      </c>
      <c r="P57" t="s">
        <v>202</v>
      </c>
      <c r="Q57">
        <v>1</v>
      </c>
      <c r="X57">
        <v>32.03</v>
      </c>
      <c r="Y57">
        <v>0</v>
      </c>
      <c r="Z57">
        <v>0</v>
      </c>
      <c r="AA57">
        <v>0</v>
      </c>
      <c r="AB57">
        <v>9.92</v>
      </c>
      <c r="AC57">
        <v>0</v>
      </c>
      <c r="AD57">
        <v>1</v>
      </c>
      <c r="AE57">
        <v>1</v>
      </c>
      <c r="AG57">
        <v>32.03</v>
      </c>
      <c r="AH57">
        <v>2</v>
      </c>
      <c r="AI57">
        <v>23635234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ROW(Source!A45)</f>
        <v>45</v>
      </c>
      <c r="B58">
        <v>23635247</v>
      </c>
      <c r="C58">
        <v>23635233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37</v>
      </c>
      <c r="K58" t="s">
        <v>203</v>
      </c>
      <c r="L58">
        <v>608254</v>
      </c>
      <c r="N58">
        <v>1013</v>
      </c>
      <c r="O58" t="s">
        <v>204</v>
      </c>
      <c r="P58" t="s">
        <v>204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G58">
        <v>0</v>
      </c>
      <c r="AH58">
        <v>2</v>
      </c>
      <c r="AI58">
        <v>23635235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ROW(Source!A45)</f>
        <v>45</v>
      </c>
      <c r="B59">
        <v>23635248</v>
      </c>
      <c r="C59">
        <v>23635233</v>
      </c>
      <c r="D59">
        <v>21012051</v>
      </c>
      <c r="E59">
        <v>1</v>
      </c>
      <c r="F59">
        <v>1</v>
      </c>
      <c r="G59">
        <v>1</v>
      </c>
      <c r="H59">
        <v>2</v>
      </c>
      <c r="I59" t="s">
        <v>282</v>
      </c>
      <c r="J59" t="s">
        <v>283</v>
      </c>
      <c r="K59" t="s">
        <v>284</v>
      </c>
      <c r="L59">
        <v>1368</v>
      </c>
      <c r="N59">
        <v>1011</v>
      </c>
      <c r="O59" t="s">
        <v>208</v>
      </c>
      <c r="P59" t="s">
        <v>208</v>
      </c>
      <c r="Q59">
        <v>1</v>
      </c>
      <c r="X59">
        <v>8.02</v>
      </c>
      <c r="Y59">
        <v>0</v>
      </c>
      <c r="Z59">
        <v>3.7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8.02</v>
      </c>
      <c r="AH59">
        <v>2</v>
      </c>
      <c r="AI59">
        <v>23635236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ROW(Source!A45)</f>
        <v>45</v>
      </c>
      <c r="B60">
        <v>23635249</v>
      </c>
      <c r="C60">
        <v>23635233</v>
      </c>
      <c r="D60">
        <v>21013319</v>
      </c>
      <c r="E60">
        <v>1</v>
      </c>
      <c r="F60">
        <v>1</v>
      </c>
      <c r="G60">
        <v>1</v>
      </c>
      <c r="H60">
        <v>2</v>
      </c>
      <c r="I60" t="s">
        <v>285</v>
      </c>
      <c r="J60" t="s">
        <v>286</v>
      </c>
      <c r="K60" t="s">
        <v>287</v>
      </c>
      <c r="L60">
        <v>1368</v>
      </c>
      <c r="N60">
        <v>1011</v>
      </c>
      <c r="O60" t="s">
        <v>208</v>
      </c>
      <c r="P60" t="s">
        <v>208</v>
      </c>
      <c r="Q60">
        <v>1</v>
      </c>
      <c r="X60">
        <v>8.02</v>
      </c>
      <c r="Y60">
        <v>0</v>
      </c>
      <c r="Z60">
        <v>35.61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8.02</v>
      </c>
      <c r="AH60">
        <v>2</v>
      </c>
      <c r="AI60">
        <v>23635237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ROW(Source!A45)</f>
        <v>45</v>
      </c>
      <c r="B61">
        <v>23635250</v>
      </c>
      <c r="C61">
        <v>23635233</v>
      </c>
      <c r="D61">
        <v>21013544</v>
      </c>
      <c r="E61">
        <v>1</v>
      </c>
      <c r="F61">
        <v>1</v>
      </c>
      <c r="G61">
        <v>1</v>
      </c>
      <c r="H61">
        <v>2</v>
      </c>
      <c r="I61" t="s">
        <v>212</v>
      </c>
      <c r="J61" t="s">
        <v>213</v>
      </c>
      <c r="K61" t="s">
        <v>214</v>
      </c>
      <c r="L61">
        <v>1368</v>
      </c>
      <c r="N61">
        <v>1011</v>
      </c>
      <c r="O61" t="s">
        <v>208</v>
      </c>
      <c r="P61" t="s">
        <v>208</v>
      </c>
      <c r="Q61">
        <v>1</v>
      </c>
      <c r="X61">
        <v>0.34</v>
      </c>
      <c r="Y61">
        <v>0</v>
      </c>
      <c r="Z61">
        <v>87.17</v>
      </c>
      <c r="AA61">
        <v>11.6</v>
      </c>
      <c r="AB61">
        <v>0</v>
      </c>
      <c r="AC61">
        <v>0</v>
      </c>
      <c r="AD61">
        <v>1</v>
      </c>
      <c r="AE61">
        <v>0</v>
      </c>
      <c r="AG61">
        <v>0.34</v>
      </c>
      <c r="AH61">
        <v>2</v>
      </c>
      <c r="AI61">
        <v>23635238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ROW(Source!A45)</f>
        <v>45</v>
      </c>
      <c r="B62">
        <v>23635251</v>
      </c>
      <c r="C62">
        <v>23635233</v>
      </c>
      <c r="D62">
        <v>21015632</v>
      </c>
      <c r="E62">
        <v>1</v>
      </c>
      <c r="F62">
        <v>1</v>
      </c>
      <c r="G62">
        <v>1</v>
      </c>
      <c r="H62">
        <v>3</v>
      </c>
      <c r="I62" t="s">
        <v>288</v>
      </c>
      <c r="J62" t="s">
        <v>289</v>
      </c>
      <c r="K62" t="s">
        <v>290</v>
      </c>
      <c r="L62">
        <v>1346</v>
      </c>
      <c r="N62">
        <v>1009</v>
      </c>
      <c r="O62" t="s">
        <v>76</v>
      </c>
      <c r="P62" t="s">
        <v>76</v>
      </c>
      <c r="Q62">
        <v>1</v>
      </c>
      <c r="X62">
        <v>0.0004</v>
      </c>
      <c r="Y62">
        <v>8.95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29</v>
      </c>
      <c r="AG62">
        <v>0</v>
      </c>
      <c r="AH62">
        <v>2</v>
      </c>
      <c r="AI62">
        <v>23635239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ROW(Source!A45)</f>
        <v>45</v>
      </c>
      <c r="B63">
        <v>23635252</v>
      </c>
      <c r="C63">
        <v>23635233</v>
      </c>
      <c r="D63">
        <v>21016607</v>
      </c>
      <c r="E63">
        <v>1</v>
      </c>
      <c r="F63">
        <v>1</v>
      </c>
      <c r="G63">
        <v>1</v>
      </c>
      <c r="H63">
        <v>3</v>
      </c>
      <c r="I63" t="s">
        <v>291</v>
      </c>
      <c r="J63" t="s">
        <v>292</v>
      </c>
      <c r="K63" t="s">
        <v>105</v>
      </c>
      <c r="L63">
        <v>1346</v>
      </c>
      <c r="N63">
        <v>1009</v>
      </c>
      <c r="O63" t="s">
        <v>76</v>
      </c>
      <c r="P63" t="s">
        <v>76</v>
      </c>
      <c r="Q63">
        <v>1</v>
      </c>
      <c r="X63">
        <v>0.526</v>
      </c>
      <c r="Y63">
        <v>112.33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29</v>
      </c>
      <c r="AG63">
        <v>0</v>
      </c>
      <c r="AH63">
        <v>2</v>
      </c>
      <c r="AI63">
        <v>23635240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ROW(Source!A45)</f>
        <v>45</v>
      </c>
      <c r="B64">
        <v>23635253</v>
      </c>
      <c r="C64">
        <v>23635233</v>
      </c>
      <c r="D64">
        <v>21019230</v>
      </c>
      <c r="E64">
        <v>1</v>
      </c>
      <c r="F64">
        <v>1</v>
      </c>
      <c r="G64">
        <v>1</v>
      </c>
      <c r="H64">
        <v>3</v>
      </c>
      <c r="I64" t="s">
        <v>293</v>
      </c>
      <c r="J64" t="s">
        <v>294</v>
      </c>
      <c r="K64" t="s">
        <v>295</v>
      </c>
      <c r="L64">
        <v>1346</v>
      </c>
      <c r="N64">
        <v>1009</v>
      </c>
      <c r="O64" t="s">
        <v>76</v>
      </c>
      <c r="P64" t="s">
        <v>76</v>
      </c>
      <c r="Q64">
        <v>1</v>
      </c>
      <c r="X64">
        <v>5</v>
      </c>
      <c r="Y64">
        <v>18.39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29</v>
      </c>
      <c r="AG64">
        <v>0</v>
      </c>
      <c r="AH64">
        <v>2</v>
      </c>
      <c r="AI64">
        <v>23635241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ROW(Source!A45)</f>
        <v>45</v>
      </c>
      <c r="B65">
        <v>23635254</v>
      </c>
      <c r="C65">
        <v>23635233</v>
      </c>
      <c r="D65">
        <v>21019231</v>
      </c>
      <c r="E65">
        <v>1</v>
      </c>
      <c r="F65">
        <v>1</v>
      </c>
      <c r="G65">
        <v>1</v>
      </c>
      <c r="H65">
        <v>3</v>
      </c>
      <c r="I65" t="s">
        <v>296</v>
      </c>
      <c r="J65" t="s">
        <v>297</v>
      </c>
      <c r="K65" t="s">
        <v>298</v>
      </c>
      <c r="L65">
        <v>1346</v>
      </c>
      <c r="N65">
        <v>1009</v>
      </c>
      <c r="O65" t="s">
        <v>76</v>
      </c>
      <c r="P65" t="s">
        <v>76</v>
      </c>
      <c r="Q65">
        <v>1</v>
      </c>
      <c r="X65">
        <v>3</v>
      </c>
      <c r="Y65">
        <v>65.3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29</v>
      </c>
      <c r="AG65">
        <v>0</v>
      </c>
      <c r="AH65">
        <v>2</v>
      </c>
      <c r="AI65">
        <v>23635242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ROW(Source!A45)</f>
        <v>45</v>
      </c>
      <c r="B66">
        <v>23635255</v>
      </c>
      <c r="C66">
        <v>23635233</v>
      </c>
      <c r="D66">
        <v>21019235</v>
      </c>
      <c r="E66">
        <v>1</v>
      </c>
      <c r="F66">
        <v>1</v>
      </c>
      <c r="G66">
        <v>1</v>
      </c>
      <c r="H66">
        <v>3</v>
      </c>
      <c r="I66" t="s">
        <v>299</v>
      </c>
      <c r="J66" t="s">
        <v>300</v>
      </c>
      <c r="K66" t="s">
        <v>301</v>
      </c>
      <c r="L66">
        <v>1346</v>
      </c>
      <c r="N66">
        <v>1009</v>
      </c>
      <c r="O66" t="s">
        <v>76</v>
      </c>
      <c r="P66" t="s">
        <v>76</v>
      </c>
      <c r="Q66">
        <v>1</v>
      </c>
      <c r="X66">
        <v>42.84</v>
      </c>
      <c r="Y66">
        <v>58.1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29</v>
      </c>
      <c r="AG66">
        <v>0</v>
      </c>
      <c r="AH66">
        <v>2</v>
      </c>
      <c r="AI66">
        <v>23635243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ROW(Source!A45)</f>
        <v>45</v>
      </c>
      <c r="B67">
        <v>23635256</v>
      </c>
      <c r="C67">
        <v>23635233</v>
      </c>
      <c r="D67">
        <v>21019236</v>
      </c>
      <c r="E67">
        <v>1</v>
      </c>
      <c r="F67">
        <v>1</v>
      </c>
      <c r="G67">
        <v>1</v>
      </c>
      <c r="H67">
        <v>3</v>
      </c>
      <c r="I67" t="s">
        <v>302</v>
      </c>
      <c r="J67" t="s">
        <v>303</v>
      </c>
      <c r="K67" t="s">
        <v>304</v>
      </c>
      <c r="L67">
        <v>1346</v>
      </c>
      <c r="N67">
        <v>1009</v>
      </c>
      <c r="O67" t="s">
        <v>76</v>
      </c>
      <c r="P67" t="s">
        <v>76</v>
      </c>
      <c r="Q67">
        <v>1</v>
      </c>
      <c r="X67">
        <v>41.16</v>
      </c>
      <c r="Y67">
        <v>51.8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29</v>
      </c>
      <c r="AG67">
        <v>0</v>
      </c>
      <c r="AH67">
        <v>2</v>
      </c>
      <c r="AI67">
        <v>23635244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ROW(Source!A45)</f>
        <v>45</v>
      </c>
      <c r="B68">
        <v>23635257</v>
      </c>
      <c r="C68">
        <v>23635233</v>
      </c>
      <c r="D68">
        <v>21020636</v>
      </c>
      <c r="E68">
        <v>1</v>
      </c>
      <c r="F68">
        <v>1</v>
      </c>
      <c r="G68">
        <v>1</v>
      </c>
      <c r="H68">
        <v>3</v>
      </c>
      <c r="I68" t="s">
        <v>107</v>
      </c>
      <c r="J68" t="s">
        <v>110</v>
      </c>
      <c r="K68" t="s">
        <v>108</v>
      </c>
      <c r="L68">
        <v>1348</v>
      </c>
      <c r="N68">
        <v>1009</v>
      </c>
      <c r="O68" t="s">
        <v>109</v>
      </c>
      <c r="P68" t="s">
        <v>109</v>
      </c>
      <c r="Q68">
        <v>1000</v>
      </c>
      <c r="X68">
        <v>0.0006</v>
      </c>
      <c r="Y68">
        <v>23499.99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29</v>
      </c>
      <c r="AG68">
        <v>0</v>
      </c>
      <c r="AH68">
        <v>2</v>
      </c>
      <c r="AI68">
        <v>23635245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2013-07-18T11:44:36Z</cp:lastPrinted>
  <dcterms:modified xsi:type="dcterms:W3CDTF">2013-07-22T05:48:25Z</dcterms:modified>
  <cp:category/>
  <cp:version/>
  <cp:contentType/>
  <cp:contentStatus/>
</cp:coreProperties>
</file>